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ME" sheetId="1" state="visible" r:id="rId3"/>
    <sheet name="Dictionary" sheetId="2" state="visible" r:id="rId4"/>
    <sheet name="Inputs" sheetId="3" state="visible" r:id="rId5"/>
    <sheet name="Model" sheetId="4" state="visible" r:id="rId6"/>
    <sheet name="DCF" sheetId="5" state="visible" r:id="rId7"/>
    <sheet name="Scenarios" sheetId="6" state="visible" r:id="rId8"/>
    <sheet name="Sensitivity" sheetId="7" state="visible" r:id="rId9"/>
    <sheet name="Comps_SOTP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<sst xmlns="http://schemas.openxmlformats.org/spreadsheetml/2006/main" count="625" uniqueCount="522">
  <si>
    <t xml:space="preserve">A corrugator engineer values International Paper — model notes</t>
  </si>
  <si>
    <t xml:space="preserve">What this is: a Wall Street Prep-style DCF (unlevered FCF, WACC, terminal value two ways, comps, sum-of-the-parts) built around Damodaran's rule — write the story first, then make every number consistent with it.</t>
  </si>
  <si>
    <t xml:space="preserve">What it is not: a price target, investment advice, or a forecast. It's three stories with numbers attached, so the argument can be had line by line.</t>
  </si>
  <si>
    <t xml:space="preserve">How to use it</t>
  </si>
  <si>
    <t xml:space="preserve">1. Inputs — every assumption, tagged REPORTED / GUIDANCE / MARKET / JUDGMENT with its source. Yellow cells are floor judgments: overwrite them with your own.</t>
  </si>
  <si>
    <t xml:space="preserve">2. Model — 2025A pro forma, 2026E at guidance, 2027E built as a bridge (price that sticks, volume, cost-out, inflation), 2028–30E at mid-cycle margins. Sanity rows check the dividend against cash flow.</t>
  </si>
  <si>
    <t xml:space="preserve">3. DCF — WACC build, PV of 2027–30 cash flows, terminal value as the average of Gordon growth and an exit multiple, with each cross-checked against the other. Terminal value's share of EV is shown on purpose.</t>
  </si>
  <si>
    <t xml:space="preserve">4. Scenarios — Bear / Mid-cycle / Bull side by side on the same chain; probability weights are yours.</t>
  </si>
  <si>
    <t xml:space="preserve">5. Sensitivity — the two things that decide the answer: NA mid-cycle margin × exit multiple, and how much of the 2026 price increase sticks.</t>
  </si>
  <si>
    <t xml:space="preserve">6. Comps_SOTP — PKG and SW multiples, and a sum-of-the-parts for the live separation of EMEA (DS Smith), including the EMEA multiple at which the parts equal today's price.</t>
  </si>
  <si>
    <t xml:space="preserve">Conventions: blue = hardcoded input · black = formula · green = link to another sheet · yellow fill = judgment to check. No results are hardcoded; change an input and everything recalculates.</t>
  </si>
  <si>
    <t xml:space="preserve">Sources are cited on the Inputs sheet next to each number (FY2025 10-K, Q2 2026 earnings release, Q1 and Q4 calls via Packaging Dive/MarketBeat, Fastmarkets RISI via Packaging Dive, Multiples.vc, Benzinga). Public information only.</t>
  </si>
  <si>
    <t xml:space="preserve">Known simplifications: enterprise DCF assumes EMEA is retained (the SOTP handles the separation); taxes on EBIT with no loss carryforwards; debt-like items from the FY2025 10-K at Dec 31, 2025 balances against Q2 2026 debt and cash (pensions are only remeasured once a year); 2025A revenue split and D&amp;A are pro forma approximations.</t>
  </si>
  <si>
    <t xml:space="preserve">Data dictionary — every term in this model, in plant language</t>
  </si>
  <si>
    <t xml:space="preserve">Three columns: what it is (the textbook), how this model computes it (the sheet), and what it means on the floor (the corrugator). Read down once; then it is a lookup.</t>
  </si>
  <si>
    <t xml:space="preserve">THE INCOME SIDE</t>
  </si>
  <si>
    <t xml:space="preserve">Term</t>
  </si>
  <si>
    <t xml:space="preserve">What it is</t>
  </si>
  <si>
    <t xml:space="preserve">How this model computes it</t>
  </si>
  <si>
    <t xml:space="preserve">What it means on the floor</t>
  </si>
  <si>
    <t xml:space="preserve">Net sales (revenue)</t>
  </si>
  <si>
    <t xml:space="preserve">Dollars billed to customers in the period, net of discounts and freight allowances.</t>
  </si>
  <si>
    <t xml:space="preserve">Model row 'Net sales'. 2026E = H1 × 2 split by the 2025 NA/EMEA mix; 2027E = volume × price; 2028+ grows at the long-term rate.</t>
  </si>
  <si>
    <t xml:space="preserve">Tons of board × price per ton, plus the box plants' value-add. Every $10/ton on the index shows up here first.</t>
  </si>
  <si>
    <t xml:space="preserve">Adjusted EBITDA</t>
  </si>
  <si>
    <t xml:space="preserve">Earnings Before Interest, Taxes, Depreciation and Amortization, with one-time items (severance, deal costs) added back. The cash the operations throw off before the bank, the IRS, and the wearing-out of the mills.</t>
  </si>
  <si>
    <t xml:space="preserve">'Adj. EBITDA — enterprise' = NA + EMEA + corporate. 2026E = guidance midpoint; 2027E = the bridge; 2028+ = mid-cycle margin × revenue.</t>
  </si>
  <si>
    <t xml:space="preserve">What the machines earn. It is the number the plant manager can move: speed, trim, downtime, price. It is NOT cash — capex and interest come out of it.</t>
  </si>
  <si>
    <t xml:space="preserve">EBITDA margin</t>
  </si>
  <si>
    <t xml:space="preserve">EBITDA ÷ revenue.</t>
  </si>
  <si>
    <t xml:space="preserve">'margin' rows.</t>
  </si>
  <si>
    <t xml:space="preserve">Cents of operating profit per dollar of board sold. PKG runs 21%, SW 15%. A mill-integrated box business with good trim lives in between.</t>
  </si>
  <si>
    <t xml:space="preserve">The 2027 bridge</t>
  </si>
  <si>
    <t xml:space="preserve">A walk from one year's EBITDA to the next, one driver at a time, so each piece can be argued separately.</t>
  </si>
  <si>
    <t xml:space="preserve">'Adj. EBITDA — NA' 2027E = 2026 guide + price that sticks − what's already in + volume × contribution + cost-out − inflation.</t>
  </si>
  <si>
    <t xml:space="preserve">Same thing as a shift-to-shift variance: what changed, by cause, in dollars.</t>
  </si>
  <si>
    <t xml:space="preserve">Price that sticks</t>
  </si>
  <si>
    <t xml:space="preserve">The share of an announced/index-recognized price increase that is still in realized box prices a year later.</t>
  </si>
  <si>
    <t xml:space="preserve">Inputs 'stick_pct' × $170/ton × $9M per $1/ton, minus the $175M already in 2026 guidance.</t>
  </si>
  <si>
    <t xml:space="preserve">Index-linked contracts lag months; buyers push back; a soft year gives some back. 'Half, lag is months' is the mid case.</t>
  </si>
  <si>
    <t xml:space="preserve">Contribution margin</t>
  </si>
  <si>
    <t xml:space="preserve">Profit on one more unit, before fixed costs.</t>
  </si>
  <si>
    <t xml:space="preserve">Inputs 'contrib_margin' (30%) × incremental NA revenue from volume.</t>
  </si>
  <si>
    <t xml:space="preserve">The next ton through a mill that's already running: paper, starch, energy and freight cost money; the machine and the crew don't cost more.</t>
  </si>
  <si>
    <t xml:space="preserve">Mid-cycle margin</t>
  </si>
  <si>
    <t xml:space="preserve">The margin a cyclical business earns on average across a full up-and-down cycle, not at the peak or the trough.</t>
  </si>
  <si>
    <t xml:space="preserve">Inputs 'midcycle_na_margin' (17%) applied from 2028E. Deliberately BELOW the 2027 price-spike year.</t>
  </si>
  <si>
    <t xml:space="preserve">Containerboard has a cycle: capacity out → price up → capacity back/demand down → price down. Valuing a cyclical at its best year is how people lose money on it.</t>
  </si>
  <si>
    <t xml:space="preserve">Corporate / other</t>
  </si>
  <si>
    <t xml:space="preserve">Head-office cost not allocated to segments.</t>
  </si>
  <si>
    <t xml:space="preserve">Enterprise guidance − segment guidance; held flat.</t>
  </si>
  <si>
    <t xml:space="preserve">The building in Memphis.</t>
  </si>
  <si>
    <t xml:space="preserve">FROM PROFIT TO CASH</t>
  </si>
  <si>
    <t xml:space="preserve">D&amp;A (depreciation &amp; amortization)</t>
  </si>
  <si>
    <t xml:space="preserve">The accounting charge that spreads the cost of mills and machines over their lives. Non-cash in the year it's booked.</t>
  </si>
  <si>
    <t xml:space="preserve">'Depreciation &amp; amortization' = 2026 guidance ($1,965M), then 8% of revenue.</t>
  </si>
  <si>
    <t xml:space="preserve">A paper machine costs hundreds of millions and runs for decades; D&amp;A is that cost showing up a slice at a time. It is the reason EBITDA overstates what you can keep.</t>
  </si>
  <si>
    <t xml:space="preserve">EBIT</t>
  </si>
  <si>
    <t xml:space="preserve">Earnings before interest and taxes = EBITDA − D&amp;A. Operating profit after the wearing-out of assets.</t>
  </si>
  <si>
    <t xml:space="preserve">'EBIT (adjusted)'.</t>
  </si>
  <si>
    <t xml:space="preserve">What the operation earns after paying for the fact that the mills are getting older.</t>
  </si>
  <si>
    <t xml:space="preserve">NOPAT</t>
  </si>
  <si>
    <t xml:space="preserve">Net Operating Profit After Tax = EBIT × (1 − tax rate). Operating profit as if the company had no debt.</t>
  </si>
  <si>
    <t xml:space="preserve">'NOPAT'.</t>
  </si>
  <si>
    <t xml:space="preserve">The profit the business would make with no bank involved. Used so that financing is handled separately in the discount rate.</t>
  </si>
  <si>
    <t xml:space="preserve">Capital expenditures (capex)</t>
  </si>
  <si>
    <t xml:space="preserve">Cash spent on long-lived assets: new machines, rebuilds, conversions, greenfield plants.</t>
  </si>
  <si>
    <t xml:space="preserve">2026E = H1 × 2 ($2.1B); 2027E input; 2028+ = 6.5% of revenue.</t>
  </si>
  <si>
    <t xml:space="preserve">Riverdale #16 conversion, the $225M Mississippi box plant, every dryer rebuild. 'Assets that are expensive to run' lives in this row.</t>
  </si>
  <si>
    <t xml:space="preserve">Maintenance vs growth capex</t>
  </si>
  <si>
    <t xml:space="preserve">Maintenance keeps today's capacity running; growth adds capacity or capability.</t>
  </si>
  <si>
    <t xml:space="preserve">Not split in the model; the 2028+ 6.5% assumes transformation capex rolls off toward maintenance.</t>
  </si>
  <si>
    <t xml:space="preserve">Rebuilding a corrugator's single-facer is maintenance; a new machine is growth. The P&amp;L can't tell them apart; the floor can.</t>
  </si>
  <si>
    <t xml:space="preserve">Net working capital (NWC)</t>
  </si>
  <si>
    <t xml:space="preserve">Inventory + receivables − payables: cash tied up in running the business.</t>
  </si>
  <si>
    <t xml:space="preserve">'Investment in NWC' = 10% × change in revenue.</t>
  </si>
  <si>
    <t xml:space="preserve">Rolls in the warehouse, boxes shipped but unpaid, paper bought on terms. Growing sales soaks up cash here before it shows up as profit.</t>
  </si>
  <si>
    <t xml:space="preserve">Unlevered free cash flow (UFCF)</t>
  </si>
  <si>
    <t xml:space="preserve">Cash available to ALL capital providers (debt and equity) after taxes, capex and working capital, before interest. NOPAT + D&amp;A − capex − ΔNWC.</t>
  </si>
  <si>
    <t xml:space="preserve">'Unlevered free cash flow' (also subtracts the one-time separation cash).</t>
  </si>
  <si>
    <t xml:space="preserve">The cash left after you've paid to keep the mills alive. This is what a DCF discounts — not EBITDA, not profit.</t>
  </si>
  <si>
    <t xml:space="preserve">Levered free cash flow</t>
  </si>
  <si>
    <t xml:space="preserve">UFCF minus after-tax interest: cash for shareholders only.</t>
  </si>
  <si>
    <t xml:space="preserve">Sanity row 'Levered FCF proxy'. 2026E ≈ $300M vs the company's $300–500M guide; 2025 actual was −$159M.</t>
  </si>
  <si>
    <t xml:space="preserve">What's left to pay the dividend ($980M/yr). When this row is smaller than the dividend, the yield is a warning, not a gift.</t>
  </si>
  <si>
    <t xml:space="preserve">THE DISCOUNTING</t>
  </si>
  <si>
    <t xml:space="preserve">Discount rate / WACC</t>
  </si>
  <si>
    <t xml:space="preserve">Weighted Average Cost of Capital: the blended return that lenders and shareholders require, weighted by how much of the company each funds. Used to turn future cash into today's dollars.</t>
  </si>
  <si>
    <t xml:space="preserve">DCF rows: cost of equity = risk-free + β × ERP; after-tax cost of debt = kd × (1 − t); WACC = weights × each. ≈ 7.4%.</t>
  </si>
  <si>
    <t xml:space="preserve">The hurdle rate. A dollar of cash flow three years out is worth 1/(1.074)^3 ≈ 81¢ today. Raising WACC 1 point knocks ~14% off the value; it is the most-argued number in finance.</t>
  </si>
  <si>
    <t xml:space="preserve">Risk-free rate</t>
  </si>
  <si>
    <t xml:space="preserve">The yield on a government bond: what you earn for taking no credit risk.</t>
  </si>
  <si>
    <t xml:space="preserve">Inputs 'rf' (10-yr Treasury, ~4%).</t>
  </si>
  <si>
    <t xml:space="preserve">The alternative to everything.</t>
  </si>
  <si>
    <t xml:space="preserve">Beta (β)</t>
  </si>
  <si>
    <t xml:space="preserve">How much the stock moves relative to the market. 1.0 = with the market; 1.1 = 10% more.</t>
  </si>
  <si>
    <t xml:space="preserve">Inputs 'beta' (1.10).</t>
  </si>
  <si>
    <t xml:space="preserve">Cyclicals have betas above 1 because the whole economy shows up in box demand.</t>
  </si>
  <si>
    <t xml:space="preserve">Equity risk premium (ERP)</t>
  </si>
  <si>
    <t xml:space="preserve">The extra return investors demand for owning stocks instead of government bonds.</t>
  </si>
  <si>
    <t xml:space="preserve">Inputs 'erp' (4.5%). Damodaran publishes the implied ERP monthly.</t>
  </si>
  <si>
    <t xml:space="preserve">Why cost of equity (~8.9%) is above the bond yield (~4%).</t>
  </si>
  <si>
    <t xml:space="preserve">Cost of debt</t>
  </si>
  <si>
    <t xml:space="preserve">The interest rate the company pays on new borrowing, after tax (interest is deductible).</t>
  </si>
  <si>
    <t xml:space="preserve">Inputs 'kd' (5.5%) × (1 − 24%).</t>
  </si>
  <si>
    <t xml:space="preserve">IP's bonds trade around 5–6%; BBB-ish credit.</t>
  </si>
  <si>
    <t xml:space="preserve">Present value (PV) / discount factor</t>
  </si>
  <si>
    <t xml:space="preserve">Today's worth of a future amount: amount ÷ (1 + WACC)^years.</t>
  </si>
  <si>
    <t xml:space="preserve">'Discount factor' and 'Present value of UFCF' rows; mid-year timing from Oct 2026.</t>
  </si>
  <si>
    <t xml:space="preserve">Same math as a lease or a loan, run backwards.</t>
  </si>
  <si>
    <t xml:space="preserve">Terminal value (TV)</t>
  </si>
  <si>
    <t xml:space="preserve">The value of all cash flows beyond the explicit forecast, collapsed into one number at the end of the forecast.</t>
  </si>
  <si>
    <t xml:space="preserve">Average of the two methods below; its PV is 'PV of terminal value'.</t>
  </si>
  <si>
    <t xml:space="preserve">Most of the answer. The model shows TV as % of EV (≈82%) on purpose: whatever you assume about year 2031+ IS the valuation.</t>
  </si>
  <si>
    <t xml:space="preserve">Gordon growth (perpetuity) method</t>
  </si>
  <si>
    <t xml:space="preserve">TV = next year's cash flow ÷ (WACC − g). Assumes cash flow grows at g forever.</t>
  </si>
  <si>
    <t xml:space="preserve">'Gordon growth' row; g = 2%.</t>
  </si>
  <si>
    <t xml:space="preserve">Only valid if g &lt; WACC and the business is steady-state. The implied exit multiple is printed next to it as a check.</t>
  </si>
  <si>
    <t xml:space="preserve">Exit multiple method</t>
  </si>
  <si>
    <t xml:space="preserve">TV = final-year EBITDA × a multiple peers trade at.</t>
  </si>
  <si>
    <t xml:space="preserve">'Exit multiple' row; 8.0× (SW 7.2×, PKG 12.2×).</t>
  </si>
  <si>
    <t xml:space="preserve">'What would a buyer pay for this business in 2030?' The implied perpetual growth is printed as the reverse check.</t>
  </si>
  <si>
    <t xml:space="preserve">Enterprise value (EV)</t>
  </si>
  <si>
    <t xml:space="preserve">Value of the whole operating business to all capital providers = PV of cash flows + PV of terminal value. Also = market cap + net debt.</t>
  </si>
  <si>
    <t xml:space="preserve">'Enterprise value' (model) and 'market EV' = $16.9B + $8.5B ≈ $25.4B (today).</t>
  </si>
  <si>
    <t xml:space="preserve">The price of the mills and plants as a going concern, regardless of who funded them.</t>
  </si>
  <si>
    <t xml:space="preserve">Net debt</t>
  </si>
  <si>
    <t xml:space="preserve">Debt minus cash. Plus 'debt-like' items (pension deficits, leases) when material.</t>
  </si>
  <si>
    <t xml:space="preserve">Inputs: $9,217M − $726M = $8,491M. The 10-K's debt-like items ($957M after tax: pension deficits, retiree medical, the 2027 timber tax net of the notes) come off the equity value, not the WACC weights.</t>
  </si>
  <si>
    <t xml:space="preserve">What the equity holder owes before owning anything. $8.5B against $17B of market cap is a real amount.</t>
  </si>
  <si>
    <t xml:space="preserve">Equity value / value per share</t>
  </si>
  <si>
    <t xml:space="preserve">EV − net debt = equity value; ÷ diluted shares = per share.</t>
  </si>
  <si>
    <t xml:space="preserve">'Equity value' and 'Value per share'; 529.5M shares.</t>
  </si>
  <si>
    <t xml:space="preserve">The number you compare to $32.</t>
  </si>
  <si>
    <t xml:space="preserve">EV/EBITDA multiple</t>
  </si>
  <si>
    <t xml:space="preserve">Enterprise value ÷ EBITDA. The most common comparison across companies because it ignores financing and D&amp;A differences.</t>
  </si>
  <si>
    <t xml:space="preserve">Comps: PKG 12.2×, SW 7.2×, IP 7.7× (2026E) and ~6× (2027E bridge) at $32.</t>
  </si>
  <si>
    <t xml:space="preserve">'Years of operating cash to buy the business.' The market paying 7.7× for IP and 12.2× for PKG is a statement about trust in the margins.</t>
  </si>
  <si>
    <t xml:space="preserve">Sum of the parts (SOTP)</t>
  </si>
  <si>
    <t xml:space="preserve">Value each segment at its own multiple, add them, subtract net debt. Used when the parts could be separated or sold.</t>
  </si>
  <si>
    <t xml:space="preserve">Comps_SOTP: NA 2028E × 9.0× + EMEA × 6.5× − debt − separation costs ≈ $40/share; plus the EMEA multiple at which SOTP = $32.</t>
  </si>
  <si>
    <t xml:space="preserve">Live question since Oct 15: DS Smith is for sale or spin. If a buyer pays more than the breakeven multiple, the market is underpricing the sum.</t>
  </si>
  <si>
    <t xml:space="preserve">THE BET</t>
  </si>
  <si>
    <t xml:space="preserve">Scenario</t>
  </si>
  <si>
    <t xml:space="preserve">One complete, internally consistent story with numbers attached (Bear / Mid-cycle / Bull).</t>
  </si>
  <si>
    <t xml:space="preserve">Scenarios sheet: ten levers per column, same chain; weights 30/45/25.</t>
  </si>
  <si>
    <t xml:space="preserve">'What if the cycle turns' is a scenario; 'what if margin is 1 point higher' is a sensitivity.</t>
  </si>
  <si>
    <t xml:space="preserve">Sensitivity table</t>
  </si>
  <si>
    <t xml:space="preserve">Value as a function of two assumptions, holding everything else fixed.</t>
  </si>
  <si>
    <t xml:space="preserve">Sensitivity sheet: NA mid-cycle margin × exit multiple; and 2027 EBITDA vs price that sticks.</t>
  </si>
  <si>
    <t xml:space="preserve">A map of what you'd have to believe to get a given number.</t>
  </si>
  <si>
    <t xml:space="preserve">Monte Carlo</t>
  </si>
  <si>
    <t xml:space="preserve">Draw the uncertain assumptions from distributions many times, run the model each time, look at the distribution of answers.</t>
  </si>
  <si>
    <t xml:space="preserve">montecarlo.py: 20,000 runs, same chain as the Scenarios sheet.</t>
  </si>
  <si>
    <t xml:space="preserve">The point estimate ($38) becomes P(value &gt; $32) = 62% with a 10th percentile of $16. A bet needs the second form.</t>
  </si>
  <si>
    <t xml:space="preserve">Regime / correlation</t>
  </si>
  <si>
    <t xml:space="preserve">In a downturn the inputs move together: price doesn't stick, demand falls, margins and multiples compress at once. Drawing them independently understates the tails.</t>
  </si>
  <si>
    <t xml:space="preserve">montecarlo.py draws the cycle first (P = 30%), then every assumption conditional on it.</t>
  </si>
  <si>
    <t xml:space="preserve">Why the first Monte Carlo said 90% and was wrong. The histogram's two humps are the two regimes.</t>
  </si>
  <si>
    <t xml:space="preserve">Model risk</t>
  </si>
  <si>
    <t xml:space="preserve">The chance the model's structure — not its inputs — is wrong.</t>
  </si>
  <si>
    <t xml:space="preserve">15% lognormal noise on the terminal value.</t>
  </si>
  <si>
    <t xml:space="preserve">Damodaran's margin of safety, made explicit instead of applied at the end.</t>
  </si>
  <si>
    <t xml:space="preserve">Expected value / median / percentiles</t>
  </si>
  <si>
    <t xml:space="preserve">Mean of the outcomes; the middle outcome; the value below which 10% (90%) of outcomes fall.</t>
  </si>
  <si>
    <t xml:space="preserve">mc.json: mean $36, median $37, 10th $16, 90th $54.</t>
  </si>
  <si>
    <t xml:space="preserve">The 10th percentile is the number to size against, not the mean.</t>
  </si>
  <si>
    <t xml:space="preserve">Breakeven cycle probability</t>
  </si>
  <si>
    <t xml:space="preserve">The P(down-cycle) at which the expected value equals the price.</t>
  </si>
  <si>
    <t xml:space="preserve">mc_pdown.json: ≈ 46%.</t>
  </si>
  <si>
    <t xml:space="preserve">What the market is 'saying' at $32: a coin flip on the cycle. Your edge is whether you can call it better than a coin.</t>
  </si>
  <si>
    <t xml:space="preserve">Kelly criterion</t>
  </si>
  <si>
    <t xml:space="preserve">The fraction of capital that maximizes long-run growth given a known payoff distribution: f* = argmax E[log(1 + f·r)].</t>
  </si>
  <si>
    <t xml:space="preserve">montecarlo.py: numeric Kelly ≈ 0.59; half-Kelly 0.29.</t>
  </si>
  <si>
    <t xml:space="preserve">Assumes you KNOW the distribution. You don't; you assigned the 30%. Treat it as a ceiling, then divide by the number of things you could be wrong about. For one cyclical stock: small.</t>
  </si>
  <si>
    <t xml:space="preserve">Margin of safety</t>
  </si>
  <si>
    <t xml:space="preserve">Buy below your estimate of value by enough to be wrong and still be fine.</t>
  </si>
  <si>
    <t xml:space="preserve">Mid-case $38 vs $32 ≈ 17% — modest for a cyclical with uncovered dividend; the Monte Carlo's 10th percentile ($16) is the honest version.</t>
  </si>
  <si>
    <t xml:space="preserve">The same instinct as leaving a half-inch of trim rather than running the chute at 7.0.</t>
  </si>
  <si>
    <t xml:space="preserve">International Paper (NYSE: IP) — valuation inputs</t>
  </si>
  <si>
    <t xml:space="preserve">All figures $ millions unless noted. Blue = hardcoded input. Yellow = floor judgment: overwrite with your own view. Black = formula.</t>
  </si>
  <si>
    <t xml:space="preserve">Provenance tags: REPORTED (company filing/release) · GUIDANCE (company outlook) · MARKET (quoted price/index) · JUDGMENT (this model's call — check it).</t>
  </si>
  <si>
    <t xml:space="preserve">Market data (as of Oct 15–17, 2026)</t>
  </si>
  <si>
    <t xml:space="preserve">Item</t>
  </si>
  <si>
    <t xml:space="preserve">Value</t>
  </si>
  <si>
    <t xml:space="preserve">Provenance</t>
  </si>
  <si>
    <t xml:space="preserve">Source / note</t>
  </si>
  <si>
    <t xml:space="preserve">Share price ($)</t>
  </si>
  <si>
    <t xml:space="preserve">MARKET</t>
  </si>
  <si>
    <t xml:space="preserve">Benzinga quote page, last updated Oct 15, 2026 (header shows $31.90; FAQ shows $32.12).</t>
  </si>
  <si>
    <t xml:space="preserve">Diluted shares (millions)</t>
  </si>
  <si>
    <t xml:space="preserve">REPORTED</t>
  </si>
  <si>
    <t xml:space="preserve">Q2 2026 earnings release: diluted average shares 529.5M.</t>
  </si>
  <si>
    <t xml:space="preserve">Dividend per share ($/yr)</t>
  </si>
  <si>
    <t xml:space="preserve">Benzinga: 5.80% yield at $31.90 → $1.85/share; policy maintained through 2026 per Q4 2025 call.</t>
  </si>
  <si>
    <t xml:space="preserve">Price date</t>
  </si>
  <si>
    <t xml:space="preserve">Oct 15, 2026</t>
  </si>
  <si>
    <t xml:space="preserve">Benzinga quote page.</t>
  </si>
  <si>
    <t xml:space="preserve">52-week low ($)</t>
  </si>
  <si>
    <t xml:space="preserve">Benzinga, Oct 15, 2026 (rounded to the dollar).</t>
  </si>
  <si>
    <t xml:space="preserve">52-week high ($)</t>
  </si>
  <si>
    <t xml:space="preserve">Share price change, year to date</t>
  </si>
  <si>
    <t xml:space="preserve">Benzinga, Oct 15, 2026 (rounded).</t>
  </si>
  <si>
    <t xml:space="preserve">Share price change, last 12 months</t>
  </si>
  <si>
    <t xml:space="preserve">Gross debt</t>
  </si>
  <si>
    <t xml:space="preserve">Q2 2026 balance sheet: notes payable/current maturities $1,002M + long-term debt $8,215M. Excludes $2,131M nonrecourse VIE liabilities.</t>
  </si>
  <si>
    <t xml:space="preserve">Cash and temporary investments</t>
  </si>
  <si>
    <t xml:space="preserve">Q2 2026 balance sheet.</t>
  </si>
  <si>
    <t xml:space="preserve">What behaves like debt but isn't in net debt (FY2025 10-K, filed Feb 2026; balances at Dec 31, 2025)</t>
  </si>
  <si>
    <t xml:space="preserve">Pension, U.S. qualified plan: assets</t>
  </si>
  <si>
    <t xml:space="preserve">10-K MD&amp;A: 'U.S. qualified pension $ 8,116 $ 8,482' (benefit obligation, fair value of plan assets).</t>
  </si>
  <si>
    <t xml:space="preserve">Pension, U.S. qualified plan: obligation (PBO)</t>
  </si>
  <si>
    <t xml:space="preserve">Same table. The plan is overfunded: 'a surplus of $366 million'.</t>
  </si>
  <si>
    <t xml:space="preserve">Pension, UK qualified plan (DS Smith): surplus</t>
  </si>
  <si>
    <t xml:space="preserve">10-K MD&amp;A: 'an overfunded UK qualified pension with a surplus of $112 million.'</t>
  </si>
  <si>
    <t xml:space="preserve">Pension, U.S. nonqualified plans: obligation, no assets</t>
  </si>
  <si>
    <t xml:space="preserve">10-K MD&amp;A: 'U.S. nonqualified pension 218 —'. Paid as benefits come due ($49M in 2025).</t>
  </si>
  <si>
    <t xml:space="preserve">Pensions, all plans: assets above obligations (the filing's net)</t>
  </si>
  <si>
    <t xml:space="preserve">10-K MD&amp;A: 'the projected benefit obligation ... was approximately $144 million lower than the fair value of plan assets.' Note 19: U.S. plans +$148M, non-U.S. −$4M.</t>
  </si>
  <si>
    <t xml:space="preserve">Pension plans in surplus, total (not counted by default)</t>
  </si>
  <si>
    <t xml:space="preserve">10-K Note 19, noncurrent assets: U.S. $367M + non-U.S. $119M = $486M (balance sheet: Overfunded Pension Plan Assets $486M).</t>
  </si>
  <si>
    <t xml:space="preserve">Pension plans in deficit, total (counted, after tax)</t>
  </si>
  <si>
    <t xml:space="preserve">10-K Note 19, liabilities: U.S. $21M current + $198M noncurrent, non-U.S. $5M current + $118M noncurrent = $342M (balance sheet: Underfunded Pension Benefit Obligations $316M long-term).</t>
  </si>
  <si>
    <t xml:space="preserve">Retiree medical and postemployment benefits (counted, after tax)</t>
  </si>
  <si>
    <t xml:space="preserve">10-K balance sheet: Postretirement and Postemployment Benefit Obligation $133M. Note 19 calls the other postretirement plans 'not considered material' and gives no table.</t>
  </si>
  <si>
    <t xml:space="preserve">Operating lease liabilities (not counted: the lease cost is already inside EBITDA)</t>
  </si>
  <si>
    <t xml:space="preserve">10-K Note 10: operating lease liabilities $221M current (other current liabilities) + $486M noncurrent (long-term lease obligations); 2025 operating lease cost $258M. Under U.S. GAAP operating lease cost is an operating expense, so EBITDA is after rent; adding the liability too would count it twice.</t>
  </si>
  <si>
    <t xml:space="preserve">Finance lease liabilities (not counted again: already inside gross debt)</t>
  </si>
  <si>
    <t xml:space="preserve">10-K Note 10: finance lease liabilities $17M in notes payable and current maturities of long-term debt + $54M in long-term debt.</t>
  </si>
  <si>
    <t xml:space="preserve">Environmental remediation reserves, old mill sites (counted, after tax)</t>
  </si>
  <si>
    <t xml:space="preserve">10-K Note 14: 'International Paper's estimated probable liability for these environmental matters, totaled approximately $270 million' at Dec 31, 2025 (Cass Lake, Kalamazoo River, San Jacinto, Versailles Pond among them). Remediation is a special item, outside adjusted EBITDA.</t>
  </si>
  <si>
    <t xml:space="preserve">Asbestos claims, net of insurance (counted, after tax)</t>
  </si>
  <si>
    <t xml:space="preserve">10-K Note 14: 'total recorded liability with respect to pending and future asbestos-related claims was $103 million ... net of insurance recoveries'.</t>
  </si>
  <si>
    <t xml:space="preserve">Brazil tax guarantee to Sylvamo, already booked (counted in full)</t>
  </si>
  <si>
    <t xml:space="preserve">10-K Note 14: 'The initial fair value estimate and recorded liability as of December 31, 2021 was $48 million and remains this amount at December 31, 2025.'</t>
  </si>
  <si>
    <t xml:space="preserve">Deferred tax on the Temple-Inland timber notes, due 2027 (counted)</t>
  </si>
  <si>
    <t xml:space="preserve">10-K, contractual obligations: '$487 million deferred tax liability related to the Temple-Inland timber monetization, which will be settled with the maturity of the notes in 2027.'</t>
  </si>
  <si>
    <t xml:space="preserve">Timber notes held by the special purpose entities (counted, net of the loans)</t>
  </si>
  <si>
    <t xml:space="preserve">10-K balance sheet: Long-Term Financial Assets of Variable Interest Entities $2,349M. Note 15: $2.4B face, due 2027, backed by letters of credit from three banks.</t>
  </si>
  <si>
    <t xml:space="preserve">Nonrecourse loans against those notes</t>
  </si>
  <si>
    <t xml:space="preserve">10-K balance sheet: Long-Term Nonrecourse Financial Liabilities of Variable Interest Entities $2,127M. Not in gross debt above; the notes repay them in 2027.</t>
  </si>
  <si>
    <t xml:space="preserve">Regular debt maturing in 2027 (context, not added)</t>
  </si>
  <si>
    <t xml:space="preserve">10-K contractual obligations: debt maturities 2026 $992M, 2027 $2,584M, 2028 $739M.</t>
  </si>
  <si>
    <t xml:space="preserve">Unrecognized tax benefits (not counted: timing and amount uncertain)</t>
  </si>
  <si>
    <t xml:space="preserve">10-K contractual obligations footnote: 'approximately $344 million of unrecognized tax benefits'.</t>
  </si>
  <si>
    <t xml:space="preserve">Brazil tax matter via the Sylvamo agreement, IP's potential share (counted only the $48M booked)</t>
  </si>
  <si>
    <t xml:space="preserve">10-K Risk Factors: 'our potential liability for such assessments would currently be approximately $274 million' (assessments total about $394M, 2007–2015 tax years).</t>
  </si>
  <si>
    <t xml:space="preserve">Count the pension surplus too? (1 = yes, 0 = no)</t>
  </si>
  <si>
    <t xml:space="preserve">JUDGMENT</t>
  </si>
  <si>
    <t xml:space="preserve">Default no: a surplus can't be spent without an excise tax or years of contribution holidays. Set 1 to net it against the deficits.</t>
  </si>
  <si>
    <t xml:space="preserve">Debt-like items, after tax (from the 10-K lines above)</t>
  </si>
  <si>
    <t xml:space="preserve">DERIVED</t>
  </si>
  <si>
    <t xml:space="preserve">Pension deficits, retiree medical, environmental and asbestos reserves, after tax; the booked Brazil guarantee; the 2027 timber tax less the equity in the timber structure (notes less loans); minus the pension surplus only if counted. Operating leases excluded.</t>
  </si>
  <si>
    <t xml:space="preserve">Latest reported and guided financials</t>
  </si>
  <si>
    <t xml:space="preserve">2025 pro forma net sales — Packaging Solutions NA</t>
  </si>
  <si>
    <t xml:space="preserve">Q4 2025 call: 'over $15B' pro forma for the North American business (rounded).</t>
  </si>
  <si>
    <t xml:space="preserve">2025 pro forma net sales — Packaging Solutions EMEA</t>
  </si>
  <si>
    <t xml:space="preserve">Q4 2025 call: about $8.5B pro forma for EMEA (DS Smith full year).</t>
  </si>
  <si>
    <t xml:space="preserve">2025 pro forma adj. EBITDA — NA</t>
  </si>
  <si>
    <t xml:space="preserve">Q4 2025 call: about $2.3B NA.</t>
  </si>
  <si>
    <t xml:space="preserve">2025 pro forma adj. EBITDA — EMEA</t>
  </si>
  <si>
    <t xml:space="preserve">Q4 2025 call: about $800M EMEA.</t>
  </si>
  <si>
    <t xml:space="preserve">2025 free cash flow</t>
  </si>
  <si>
    <t xml:space="preserve">Q4 2025 call: free cash flow of negative $159M, reflecting transformation investment.</t>
  </si>
  <si>
    <t xml:space="preserve">H1 2026 net sales</t>
  </si>
  <si>
    <t xml:space="preserve">Q2 2026 release: six-month net sales $11,975M.</t>
  </si>
  <si>
    <t xml:space="preserve">H1 2026 adj. EBITDA</t>
  </si>
  <si>
    <t xml:space="preserve">Q2 2026 release: six-month adjusted EBITDA $1,264M (Q1 $677M, Q2 $587M).</t>
  </si>
  <si>
    <t xml:space="preserve">H1 2026 capital expenditures</t>
  </si>
  <si>
    <t xml:space="preserve">Q2 2026 release: six-month capex $1,050M.</t>
  </si>
  <si>
    <t xml:space="preserve">2026 adj. EBITDA guidance — low</t>
  </si>
  <si>
    <t xml:space="preserve">GUIDANCE</t>
  </si>
  <si>
    <t xml:space="preserve">Q2 2026 release: $3.2–3.4B. (January: $3.5–3.7B; cut in April on demand, inflation, Middle East freight.)</t>
  </si>
  <si>
    <t xml:space="preserve">2026 adj. EBITDA guidance — high</t>
  </si>
  <si>
    <t xml:space="preserve">Q2 2026 release.</t>
  </si>
  <si>
    <t xml:space="preserve">2026 adj. EBITDA guidance in January — low</t>
  </si>
  <si>
    <t xml:space="preserve">Q4 2025 call (Jan 29, 2026): $3.5–3.7B, cut to $3.2–3.4B in April.</t>
  </si>
  <si>
    <t xml:space="preserve">2026 adj. EBITDA guidance in January — high</t>
  </si>
  <si>
    <t xml:space="preserve">Q4 2025 call (Jan 29, 2026).</t>
  </si>
  <si>
    <t xml:space="preserve">2026 adj. EBITDA guidance — NA (midpoint)</t>
  </si>
  <si>
    <t xml:space="preserve">April 2026: NA $2.35–2.5B (from $2.5–2.6B).</t>
  </si>
  <si>
    <t xml:space="preserve">2026 adj. EBITDA guidance — EMEA (midpoint)</t>
  </si>
  <si>
    <t xml:space="preserve">April 2026: EMEA $0.9–1.0B (from $1.0–1.1B).</t>
  </si>
  <si>
    <t xml:space="preserve">2026 depreciation &amp; amortization</t>
  </si>
  <si>
    <t xml:space="preserve">Q2 2026 release outlook reconciliation: D&amp;A $1,965M.</t>
  </si>
  <si>
    <t xml:space="preserve">2026 interest expense</t>
  </si>
  <si>
    <t xml:space="preserve">Q2 2026 release outlook reconciliation.</t>
  </si>
  <si>
    <t xml:space="preserve">2026 free cash flow guidance (Jan, midpoint)</t>
  </si>
  <si>
    <t xml:space="preserve">Q4 2025 call: $300–500M FCF for 2026 (pre-April cut; not updated in the Q2 release).</t>
  </si>
  <si>
    <t xml:space="preserve">Separation / transaction costs expected 2026–27</t>
  </si>
  <si>
    <t xml:space="preserve">Q2 2026 alone: $43M separation costs + $5M NORPAC costs + $9M 80/20 severance. Annualized run-rate ~$250M through the spin; your call.</t>
  </si>
  <si>
    <t xml:space="preserve">The story, as numbers (Damodaran: narrative → numbers)</t>
  </si>
  <si>
    <t xml:space="preserve">2026 containerboard index increase recognized YTD ($/ton, linerboard)</t>
  </si>
  <si>
    <t xml:space="preserve">Fastmarkets RISI via Packaging Dive (Sept 18, 2026): −20 Feb, +40 Mar, +30 Apr, +50 Jun, +70 Sep ≈ +$170/ton linerboard; medium +$100 in Sept alone.</t>
  </si>
  <si>
    <t xml:space="preserve">EBITDA per $1/ton of price (annualized, NA)</t>
  </si>
  <si>
    <t xml:space="preserve">CFO Lance Loeffler, Q4 2025 call: each $10/ton ≈ $90M annualized adjusted EBITDA.</t>
  </si>
  <si>
    <t xml:space="preserve">Price benefit already inside 2026 NA guidance</t>
  </si>
  <si>
    <t xml:space="preserve">Q1 2026 call: IP expects pricing to add ~$175M to NA in 2026, mostly in H2.</t>
  </si>
  <si>
    <t xml:space="preserve">Share of the YTD index gain that STICKS through 2027 (floor judgment)</t>
  </si>
  <si>
    <t xml:space="preserve">Q1 for Jason: of the $170/ton announced, what holds at the box level in 12 months? Green Markets found no evidence the third round reached the open market (Sept). Default 50%.</t>
  </si>
  <si>
    <t xml:space="preserve">NA box volume growth 2027</t>
  </si>
  <si>
    <t xml:space="preserve">Market flat in 2026 (TTOBMA cut containerboard to −2%); IP claims +3–4 pts vs market. Default +1%.</t>
  </si>
  <si>
    <t xml:space="preserve">Contribution margin on incremental NA volume</t>
  </si>
  <si>
    <t xml:space="preserve">Incremental box volume through existing mills/plants; typical converter contribution 25–35%.</t>
  </si>
  <si>
    <t xml:space="preserve">Incremental 80/20 cost-out 2027 (NA + EMEA)</t>
  </si>
  <si>
    <t xml:space="preserve">~$510M run-rate benefits in 2025, 'similar' expected in 2026 (Q4 2025 call); EMEA &gt;$200M run-rate from 31 closures. Default $300M for 2027, fading.</t>
  </si>
  <si>
    <t xml:space="preserve">Cost inflation 2027 (OCC, energy, labor, freight)</t>
  </si>
  <si>
    <t xml:space="preserve">OCC back to ~$80–100/ton from 2025 lows (5-yr avg $140); freight up on Middle East; EMEA inflation ~$100M in 2026 guide. Default $250M.</t>
  </si>
  <si>
    <t xml:space="preserve">EMEA EBITDA change 2027 (box-price catch-up + cost-out, net)</t>
  </si>
  <si>
    <t xml:space="preserve">Q2 2026: EMEA lost money because paper prices rose faster than box prices. Catch-up + cost-out vs soft demand. Default +$150M.</t>
  </si>
  <si>
    <t xml:space="preserve">Mid-cycle NA adj. EBITDA margin (2028+)</t>
  </si>
  <si>
    <t xml:space="preserve">SW 15% LTM, PKG 21% LTM, IP NA 2026E ~15.9%. Bull = toward PKG after 80/20; bear = below SW. Default 17%.</t>
  </si>
  <si>
    <t xml:space="preserve">Mid-cycle EMEA adj. EBITDA margin (2028+)</t>
  </si>
  <si>
    <t xml:space="preserve">DS Smith historically ~12–13%; 2026E ~10%. Default 11%.</t>
  </si>
  <si>
    <t xml:space="preserve">Revenue growth 2028–2030 (nominal)</t>
  </si>
  <si>
    <t xml:space="preserve">Box demand ≈ GDP-ish plus price; 2.5% nominal.</t>
  </si>
  <si>
    <t xml:space="preserve">Capex 2027</t>
  </si>
  <si>
    <t xml:space="preserve">2026 run-rate ~$2.1B incl. Riverdale conversion ($250M project) and $225M Mississippi greenfield (opens Q4 2027). Default $1.9B.</t>
  </si>
  <si>
    <t xml:space="preserve">Capex as % of revenue 2028+ (maintenance + modest growth)</t>
  </si>
  <si>
    <t xml:space="preserve">Paper is capex-heavy: D&amp;A ≈ 8% of sales today. 6.5% assumes the transformation capex rolls off. Your 'assets in the ground are expensive to run' point lives here.</t>
  </si>
  <si>
    <t xml:space="preserve">D&amp;A as % of revenue 2027+</t>
  </si>
  <si>
    <t xml:space="preserve">2026: $1,965M on ~$24B = 8.2%.</t>
  </si>
  <si>
    <t xml:space="preserve">Net working capital investment, % of incremental revenue</t>
  </si>
  <si>
    <t xml:space="preserve">Packaging converters typically carry 8–12% of sales in NWC.</t>
  </si>
  <si>
    <t xml:space="preserve">Cash tax rate</t>
  </si>
  <si>
    <t xml:space="preserve">US 21% federal + state, blended with EMEA. Check against the 10-K effective rate.</t>
  </si>
  <si>
    <t xml:space="preserve">Discount rate (WACC build)</t>
  </si>
  <si>
    <t xml:space="preserve">Risk-free rate (10-yr US Treasury)</t>
  </si>
  <si>
    <t xml:space="preserve">Placeholder near the Oct 2026 10-yr yield — refresh before publishing.</t>
  </si>
  <si>
    <t xml:space="preserve">Equity beta</t>
  </si>
  <si>
    <t xml:space="preserve">IP 5-yr regression beta has run ~1.0–1.2; Damodaran paper/forest products industry beta ~1.0. Default 1.10.</t>
  </si>
  <si>
    <t xml:space="preserve">Equity risk premium</t>
  </si>
  <si>
    <t xml:space="preserve">Damodaran implied ERP has run 4–5% in 2025–26.</t>
  </si>
  <si>
    <t xml:space="preserve">Pre-tax cost of debt</t>
  </si>
  <si>
    <t xml:space="preserve">IP senior unsecured notes have traded ~5–6% yield (BBB-range credit). Refresh.</t>
  </si>
  <si>
    <t xml:space="preserve">Terminal growth rate</t>
  </si>
  <si>
    <t xml:space="preserve">At or below long-run nominal GDP for a mature, capex-heavy business.</t>
  </si>
  <si>
    <t xml:space="preserve">Exit EV/EBITDA multiple (cross-check)</t>
  </si>
  <si>
    <t xml:space="preserve">IP's own 10-yr average ~8–9x; SW 7.2x and PKG 12.2x today.</t>
  </si>
  <si>
    <t xml:space="preserve">Peers (Multiples.vc, Oct 15–17, 2026)</t>
  </si>
  <si>
    <t xml:space="preserve">PKG EV/EBITDA (LTM)</t>
  </si>
  <si>
    <t xml:space="preserve">Multiples.vc Oct 17, 2026; EV $25B, LTM revenue $9.8B, EBITDA margin 21%.</t>
  </si>
  <si>
    <t xml:space="preserve">PKG EBITDA margin (LTM)</t>
  </si>
  <si>
    <t xml:space="preserve">Multiples.vc.</t>
  </si>
  <si>
    <t xml:space="preserve">Smurfit Westrock EV/EBITDA (LTM)</t>
  </si>
  <si>
    <t xml:space="preserve">Multiples.vc Oct 15, 2026; EV $35B, LTM revenue $32B, EBITDA margin 15%.</t>
  </si>
  <si>
    <t xml:space="preserve">Smurfit Westrock EBITDA margin (LTM)</t>
  </si>
  <si>
    <t xml:space="preserve">Scenario switch</t>
  </si>
  <si>
    <t xml:space="preserve">Active scenario (1 = Bear, 2 = Mid-cycle, 3 = Bull) — drives the Scenarios sheet overrides</t>
  </si>
  <si>
    <t xml:space="preserve">The Model sheet uses the Inputs above directly; the Scenarios sheet runs all three side by side.</t>
  </si>
  <si>
    <t xml:space="preserve">Projection model — enterprise (NA + EMEA retained; see SOTP for the separation)</t>
  </si>
  <si>
    <t xml:space="preserve">$ millions. 2026E = guidance midpoint. 2027E = driver bridge from the story. 2028E+ = converge to mid-cycle margins.</t>
  </si>
  <si>
    <t xml:space="preserve">Fiscal year</t>
  </si>
  <si>
    <t xml:space="preserve">2025A</t>
  </si>
  <si>
    <t xml:space="preserve">2026E</t>
  </si>
  <si>
    <t xml:space="preserve">2027E</t>
  </si>
  <si>
    <t xml:space="preserve">2028E</t>
  </si>
  <si>
    <t xml:space="preserve">2029E</t>
  </si>
  <si>
    <t xml:space="preserve">2030E</t>
  </si>
  <si>
    <t xml:space="preserve">How it's built</t>
  </si>
  <si>
    <t xml:space="preserve">Revenue</t>
  </si>
  <si>
    <t xml:space="preserve">Net sales — NA</t>
  </si>
  <si>
    <t xml:space="preserve">2026E: H1×2 split by 2025 mix. 2027E: volume growth + the incremental price that sticks (price $ passes through revenue 1:1). 2028+: long-term growth.</t>
  </si>
  <si>
    <t xml:space="preserve">Net sales — EMEA</t>
  </si>
  <si>
    <t xml:space="preserve">EMEA grows with the long-term rate; demand soft, price catch-up handled in EBITDA.</t>
  </si>
  <si>
    <t xml:space="preserve">Net sales — enterprise</t>
  </si>
  <si>
    <t xml:space="preserve">  growth</t>
  </si>
  <si>
    <t xml:space="preserve">Adjusted EBITDA — the bridge</t>
  </si>
  <si>
    <t xml:space="preserve">Adj. EBITDA — NA</t>
  </si>
  <si>
    <t xml:space="preserve">2027E = 2026 guide + price that sticks (net of what's already in) + volume × contribution + cost-out − inflation (NA share of both). 2028+ = mid-cycle margin × revenue — DELIBERATELY below 2027: a price-increase year is a peak, and a cyclical is valued at mid-cycle, not at the peak (Damodaran).</t>
  </si>
  <si>
    <t xml:space="preserve">Adj. EBITDA — EMEA</t>
  </si>
  <si>
    <t xml:space="preserve">2027E = 2026 guide + box-price catch-up + EMEA share of cost-out − inflation. 2028+ = mid-cycle margin.</t>
  </si>
  <si>
    <t xml:space="preserve">2026E = enterprise guide midpoint − segment guides (the unallocated corporate drag); held flat. 2025A −$100M is an estimate (blue).</t>
  </si>
  <si>
    <t xml:space="preserve">Adj. EBITDA — enterprise</t>
  </si>
  <si>
    <t xml:space="preserve">  margin</t>
  </si>
  <si>
    <t xml:space="preserve">  NA margin</t>
  </si>
  <si>
    <t xml:space="preserve">Compare: PKG 21%, SW 15%.</t>
  </si>
  <si>
    <t xml:space="preserve">  EMEA margin</t>
  </si>
  <si>
    <t xml:space="preserve">From EBITDA to unlevered free cash flow</t>
  </si>
  <si>
    <t xml:space="preserve">Depreciation &amp; amortization</t>
  </si>
  <si>
    <t xml:space="preserve">2026E = guidance; 2027+ = % of revenue. 2025A approximated at 95% of 2026.</t>
  </si>
  <si>
    <t xml:space="preserve">EBIT (adjusted)</t>
  </si>
  <si>
    <t xml:space="preserve">Cash taxes on EBIT</t>
  </si>
  <si>
    <t xml:space="preserve">No tax benefit modeled on an EBIT loss (conservative).</t>
  </si>
  <si>
    <t xml:space="preserve">Add back D&amp;A</t>
  </si>
  <si>
    <t xml:space="preserve">Capital expenditures</t>
  </si>
  <si>
    <t xml:space="preserve">2026E = H1 × 2. 2027E = input. 2028+ = % of revenue. 2025A ~$2.0B estimate.</t>
  </si>
  <si>
    <t xml:space="preserve">Investment in net working capital</t>
  </si>
  <si>
    <t xml:space="preserve">Separation / transaction costs (cash)</t>
  </si>
  <si>
    <t xml:space="preserve">Below EBITDA because 'adjusted' excludes them; the cash still leaves. 2027 at half, then done.</t>
  </si>
  <si>
    <t xml:space="preserve">Unlevered free cash flow</t>
  </si>
  <si>
    <t xml:space="preserve">  UFCF / revenue</t>
  </si>
  <si>
    <t xml:space="preserve">Sanity checks against what the company says</t>
  </si>
  <si>
    <t xml:space="preserve">Levered FCF proxy = UFCF − after-tax interest</t>
  </si>
  <si>
    <t xml:space="preserve">Compare 2026E to the $300–500M January FCF guide and 2025's −$159M actual.</t>
  </si>
  <si>
    <t xml:space="preserve">Dividends paid</t>
  </si>
  <si>
    <t xml:space="preserve">$1.85 × 529.5M ≈ $980M/yr. Covered only when the row above exceeds this.</t>
  </si>
  <si>
    <t xml:space="preserve">2025A reported free cash flow (actual)</t>
  </si>
  <si>
    <t xml:space="preserve">The 2025A model column is a pro forma approximation (no DS Smith deal costs, severance cash, pension, or NWC swing) and will not tie to this −$159M; it is there for scale, not for valuation. Nothing is discounted from 2025 or 2026.</t>
  </si>
  <si>
    <t xml:space="preserve">  dividend coverage by levered FCF</t>
  </si>
  <si>
    <t xml:space="preserve">Discounted cash flow — enterprise, retained EMEA</t>
  </si>
  <si>
    <t xml:space="preserve">Valuation date Oct 17, 2026. Cash flows discounted from mid-2027 onward; 2026E cash flow excluded (mostly in the past and already in net debt by year-end).</t>
  </si>
  <si>
    <t xml:space="preserve">WACC</t>
  </si>
  <si>
    <t xml:space="preserve">Market capitalization</t>
  </si>
  <si>
    <t xml:space="preserve">Net debt (gross debt − cash)</t>
  </si>
  <si>
    <t xml:space="preserve">Debt-like items from the 10-K, after tax (Inputs)</t>
  </si>
  <si>
    <t xml:space="preserve">Pension deficits and retiree medical after tax, the 2027 timber tax net of the notes' equity. Off the equity, not in the WACC weights: these aren't financing.</t>
  </si>
  <si>
    <t xml:space="preserve">Weight of equity (market)</t>
  </si>
  <si>
    <t xml:space="preserve">Weight of debt (market)</t>
  </si>
  <si>
    <t xml:space="preserve">Cost of equity = rf + β × ERP</t>
  </si>
  <si>
    <t xml:space="preserve">After-tax cost of debt</t>
  </si>
  <si>
    <t xml:space="preserve">Damodaran would push back on using today's depressed equity weight for a target structure; a 30/70 D/E target gives a similar number here.</t>
  </si>
  <si>
    <t xml:space="preserve">Cash flows</t>
  </si>
  <si>
    <t xml:space="preserve">Years from valuation date (mid-year)</t>
  </si>
  <si>
    <t xml:space="preserve">Oct 2026 → mid-2027 ≈ 0.7 years; then annual.</t>
  </si>
  <si>
    <t xml:space="preserve">Discount factor</t>
  </si>
  <si>
    <t xml:space="preserve">Present value of UFCF</t>
  </si>
  <si>
    <t xml:space="preserve">Terminal value — two ways</t>
  </si>
  <si>
    <t xml:space="preserve">Gordon growth: UFCF₂₀₃₀ × (1+g) / (WACC − g)</t>
  </si>
  <si>
    <t xml:space="preserve">Requires WACC &gt; g; the model errors loudly otherwise, by design.</t>
  </si>
  <si>
    <t xml:space="preserve">Exit multiple: EBITDA₂₀₃₀ × multiple</t>
  </si>
  <si>
    <t xml:space="preserve">  implied exit multiple of the Gordon TV</t>
  </si>
  <si>
    <t xml:space="preserve">If this is far from 7–12x, the g/WACC pair is telling a story the comps don't.</t>
  </si>
  <si>
    <t xml:space="preserve">  implied perpetual growth of the exit-multiple TV</t>
  </si>
  <si>
    <t xml:space="preserve">Terminal value used (average of the two)</t>
  </si>
  <si>
    <t xml:space="preserve">PV of terminal value</t>
  </si>
  <si>
    <t xml:space="preserve">Enterprise value → equity value → per share</t>
  </si>
  <si>
    <t xml:space="preserve">Sum of PV of 2027–2030 UFCF</t>
  </si>
  <si>
    <t xml:space="preserve">Enterprise value</t>
  </si>
  <si>
    <t xml:space="preserve">  terminal value as % of EV</t>
  </si>
  <si>
    <t xml:space="preserve">Damodaran's honesty check: for a mature company 60–80% is normal; it means the answer IS the terminal assumptions.</t>
  </si>
  <si>
    <t xml:space="preserve">Equity value = EV − net debt − debt-like</t>
  </si>
  <si>
    <t xml:space="preserve">Value per share ($)</t>
  </si>
  <si>
    <t xml:space="preserve">  vs. market price</t>
  </si>
  <si>
    <t xml:space="preserve">  implied EV / 2027E EBITDA</t>
  </si>
  <si>
    <t xml:space="preserve">  market EV / 2027E EBITDA (today)</t>
  </si>
  <si>
    <t xml:space="preserve">  market EV / 2026E EBITDA (today)</t>
  </si>
  <si>
    <t xml:space="preserve">PKG 12.2x and SW 7.2x LTM for comparison.</t>
  </si>
  <si>
    <t xml:space="preserve">Three stories, three numbers</t>
  </si>
  <si>
    <t xml:space="preserve">Each column is a complete narrative → numbers chain. Blue cells are the scenario levers; everything else is formula. 2027E bridge + mid-cycle 2028–2030 + terminal, same mechanics as the DCF sheet.</t>
  </si>
  <si>
    <t xml:space="preserve">Lever</t>
  </si>
  <si>
    <t xml:space="preserve">Bear</t>
  </si>
  <si>
    <t xml:space="preserve">Mid-cycle</t>
  </si>
  <si>
    <t xml:space="preserve">Bull</t>
  </si>
  <si>
    <t xml:space="preserve">The story</t>
  </si>
  <si>
    <t xml:space="preserve">Price that sticks through 2027 (% of $170/ton)</t>
  </si>
  <si>
    <t xml:space="preserve">Bear: demand −2% and the third round never reaches the box. Bull: capacity cut is real and index-linked contracts catch up.</t>
  </si>
  <si>
    <t xml:space="preserve">NA volume growth 2027</t>
  </si>
  <si>
    <t xml:space="preserve">Bear: TTOBMA's −2%. Bull: IP's '3–4 pts above market'.</t>
  </si>
  <si>
    <t xml:space="preserve">Cost-out 2027</t>
  </si>
  <si>
    <t xml:space="preserve">Bull assumes 80/20 keeps finding $500M/yr as it did in 2025.</t>
  </si>
  <si>
    <t xml:space="preserve">Inflation 2027</t>
  </si>
  <si>
    <t xml:space="preserve">Bear: OCC back to its $140 five-year average, freight stays up.</t>
  </si>
  <si>
    <t xml:space="preserve">EMEA 2027 change</t>
  </si>
  <si>
    <t xml:space="preserve">Bear: box prices never catch paper prices; sale happens at a distressed multiple.</t>
  </si>
  <si>
    <t xml:space="preserve">Mid-cycle NA margin 2028+</t>
  </si>
  <si>
    <t xml:space="preserve">Bear = below SW today; Mid = between SW and PKG; Bull = approaching PKG.</t>
  </si>
  <si>
    <t xml:space="preserve">Mid-cycle EMEA margin 2028+</t>
  </si>
  <si>
    <t xml:space="preserve">DS Smith's historical range.</t>
  </si>
  <si>
    <t xml:space="preserve">Capex % of revenue 2028+</t>
  </si>
  <si>
    <t xml:space="preserve">Bear: the old mills keep eating capital ('assets in the ground').</t>
  </si>
  <si>
    <t xml:space="preserve">±50 bp.</t>
  </si>
  <si>
    <t xml:space="preserve">Exit multiple</t>
  </si>
  <si>
    <t xml:space="preserve">Bear = SW today; Bull = halfway to PKG.</t>
  </si>
  <si>
    <t xml:space="preserve">Derived (formulas)</t>
  </si>
  <si>
    <t xml:space="preserve">NA revenue 2027E</t>
  </si>
  <si>
    <t xml:space="preserve">EMEA revenue 2027E</t>
  </si>
  <si>
    <t xml:space="preserve">NA EBITDA 2027E</t>
  </si>
  <si>
    <t xml:space="preserve">EMEA EBITDA 2027E</t>
  </si>
  <si>
    <t xml:space="preserve">Enterprise EBITDA 2027E</t>
  </si>
  <si>
    <t xml:space="preserve">Enterprise revenue 2030E</t>
  </si>
  <si>
    <t xml:space="preserve">Enterprise EBITDA 2030E (mid-cycle)</t>
  </si>
  <si>
    <t xml:space="preserve">UFCF 2030E</t>
  </si>
  <si>
    <t xml:space="preserve">Steady-state: NOPAT + D&amp;A − capex − NWC on one year's growth.</t>
  </si>
  <si>
    <t xml:space="preserve">UFCF 2027E (approx.)</t>
  </si>
  <si>
    <t xml:space="preserve">2027 capex and half the separation cost from Inputs; NWC ignored for the approximation.</t>
  </si>
  <si>
    <t xml:space="preserve">PV of 2027–2030 UFCF (linear ramp 2027→2030)</t>
  </si>
  <si>
    <t xml:space="preserve">Interpolates 2028–29 between the bridge year and the steady state.</t>
  </si>
  <si>
    <t xml:space="preserve">Terminal value (avg of Gordon and exit multiple)</t>
  </si>
  <si>
    <t xml:space="preserve">Equity value</t>
  </si>
  <si>
    <t xml:space="preserve">vs. $32 market</t>
  </si>
  <si>
    <t xml:space="preserve">Terminal value share of EV</t>
  </si>
  <si>
    <t xml:space="preserve">Implied EV / 2027E EBITDA</t>
  </si>
  <si>
    <t xml:space="preserve">Probability weight (your call)</t>
  </si>
  <si>
    <t xml:space="preserve">Probability-weighted value per share ($)</t>
  </si>
  <si>
    <t xml:space="preserve">Not a price target. It's the expected value of three stories you've written down and can defend line by line.</t>
  </si>
  <si>
    <t xml:space="preserve">What actually moves the number</t>
  </si>
  <si>
    <t xml:space="preserve">Grid 1: value per share vs mid-cycle NA margin (rows) × exit multiple (columns), mid-cycle scenario mechanics. Grid 2: 2027E EBITDA vs how much of the $170/ton sticks.</t>
  </si>
  <si>
    <t xml:space="preserve">Value / share: NA mid-cycle margin ↓  ×  exit multiple →</t>
  </si>
  <si>
    <t xml:space="preserve">Market: $32. Rows are NA margin; EMEA held at the mid-cycle scenario's margin.</t>
  </si>
  <si>
    <t xml:space="preserve">2027E enterprise EBITDA vs price that sticks (mid-cycle levers otherwise)</t>
  </si>
  <si>
    <t xml:space="preserve">Share of $170/ton that sticks</t>
  </si>
  <si>
    <t xml:space="preserve">$/ton</t>
  </si>
  <si>
    <t xml:space="preserve">2027E EBITDA</t>
  </si>
  <si>
    <t xml:space="preserve">vs 2026 guide mid</t>
  </si>
  <si>
    <t xml:space="preserve">EV/EBITDA at $32</t>
  </si>
  <si>
    <t xml:space="preserve">Each $10/ton ≈ $90M annualized EBITDA (CFO). This is the single assumption the stock argues about.</t>
  </si>
  <si>
    <t xml:space="preserve">Trading comps and sum-of-the-parts (the separation is live: spin planned, sale process opened Oct 15, 2026)</t>
  </si>
  <si>
    <t xml:space="preserve">Trading comps (LTM, Multiples.vc)</t>
  </si>
  <si>
    <t xml:space="preserve">Company</t>
  </si>
  <si>
    <t xml:space="preserve">EV/EBITDA</t>
  </si>
  <si>
    <t xml:space="preserve">Packaging Corp of America (PKG)</t>
  </si>
  <si>
    <t xml:space="preserve">Smurfit Westrock (SW)</t>
  </si>
  <si>
    <t xml:space="preserve">International Paper (IP) — 2026E, at $32</t>
  </si>
  <si>
    <t xml:space="preserve">IP NA segment margin 2026E</t>
  </si>
  <si>
    <t xml:space="preserve">Sum of the parts — 2028E mid-cycle EBITDA × segment multiple (not the 2027 price-spike year)</t>
  </si>
  <si>
    <t xml:space="preserve">Segment</t>
  </si>
  <si>
    <t xml:space="preserve">2028E EBITDA</t>
  </si>
  <si>
    <t xml:space="preserve">Multiple</t>
  </si>
  <si>
    <t xml:space="preserve">Why</t>
  </si>
  <si>
    <t xml:space="preserve">Packaging Solutions NA</t>
  </si>
  <si>
    <t xml:space="preserve">Between SW (7.2x) and PKG (12.2x): a pure-NA box business with 80/20 margins not yet proven.</t>
  </si>
  <si>
    <t xml:space="preserve">Packaging Solutions EMEA (DS Smith)</t>
  </si>
  <si>
    <t xml:space="preserve">European packaging peers trade 6–7x; a sale to a strategic could clear higher — that's the Oct 15 news.</t>
  </si>
  <si>
    <t xml:space="preserve">Corporate (capitalized)</t>
  </si>
  <si>
    <t xml:space="preserve">Enterprise value (SOTP)</t>
  </si>
  <si>
    <t xml:space="preserve">Less: net debt + debt-like</t>
  </si>
  <si>
    <t xml:space="preserve">Less: separation costs and dis-synergies (one-time)</t>
  </si>
  <si>
    <t xml:space="preserve">1.5 years of the Inputs run-rate; two public companies cost more to run than one.</t>
  </si>
  <si>
    <t xml:space="preserve">Per share ($)</t>
  </si>
  <si>
    <t xml:space="preserve">Breakeven: EMEA multiple at which SOTP = market price</t>
  </si>
  <si>
    <t xml:space="preserve">If a buyer pays more than this for DS Smith, the market is underpricing the sum.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</si>
</sst>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\$#,##0.00;&quot;($&quot;#,##0.00\);\-"/>
    <numFmt numFmtId="166" formatCode="#,##0.0;\(#,##0.0\);\-"/>
    <numFmt numFmtId="167" formatCode="0.0%;\(0.0%\);\-"/>
    <numFmt numFmtId="168" formatCode="\$#,##0;&quot;($&quot;#,##0\);\-"/>
    <numFmt numFmtId="169" formatCode="0.00"/>
    <numFmt numFmtId="170" formatCode="0.0\x"/>
    <numFmt numFmtId="171" formatCode="0"/>
    <numFmt numFmtId="172" formatCode="0.0"/>
    <numFmt numFmtId="173" formatCode="0.00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color rgb="FF0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DCE6F1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23.85" hidden="false" customHeight="false" outlineLevel="0" collapsed="false">
      <c r="A3" s="3" t="s">
        <v>1</v>
      </c>
    </row>
    <row r="4" customFormat="false" ht="23.8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/>
    </row>
    <row r="6" customFormat="false" ht="15" hidden="false" customHeight="false" outlineLevel="0" collapsed="false">
      <c r="A6" s="4" t="s">
        <v>3</v>
      </c>
    </row>
    <row r="7" customFormat="false" ht="23.85" hidden="false" customHeight="false" outlineLevel="0" collapsed="false">
      <c r="A7" s="3" t="s">
        <v>4</v>
      </c>
    </row>
    <row r="8" customFormat="false" ht="23.85" hidden="false" customHeight="false" outlineLevel="0" collapsed="false">
      <c r="A8" s="3" t="s">
        <v>5</v>
      </c>
    </row>
    <row r="9" customFormat="false" ht="23.8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3" t="s">
        <v>7</v>
      </c>
    </row>
    <row r="11" customFormat="false" ht="23.85" hidden="false" customHeight="false" outlineLevel="0" collapsed="false">
      <c r="A11" s="3" t="s">
        <v>8</v>
      </c>
    </row>
    <row r="12" customFormat="false" ht="23.85" hidden="false" customHeight="false" outlineLevel="0" collapsed="false">
      <c r="A12" s="3" t="s">
        <v>9</v>
      </c>
    </row>
    <row r="13" customFormat="false" ht="15" hidden="false" customHeight="false" outlineLevel="0" collapsed="false">
      <c r="A13" s="2"/>
    </row>
    <row r="14" customFormat="false" ht="22.35" hidden="false" customHeight="false" outlineLevel="0" collapsed="false">
      <c r="A14" s="5" t="s">
        <v>10</v>
      </c>
    </row>
    <row r="15" customFormat="false" ht="22.35" hidden="false" customHeight="false" outlineLevel="0" collapsed="false">
      <c r="A15" s="5" t="s">
        <v>11</v>
      </c>
    </row>
    <row r="16" customFormat="false" ht="32.8" hidden="false" customHeight="false" outlineLevel="0" collapsed="false">
      <c r="A16" s="5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3" min="2" style="0" width="44"/>
    <col collapsed="false" customWidth="true" hidden="false" outlineLevel="0" max="4" min="4" style="0" width="40"/>
  </cols>
  <sheetData>
    <row r="1" customFormat="false" ht="16.15" hidden="false" customHeight="false" outlineLevel="0" collapsed="false">
      <c r="A1" s="6" t="s">
        <v>13</v>
      </c>
    </row>
    <row r="2" customFormat="false" ht="15" hidden="false" customHeight="false" outlineLevel="0" collapsed="false">
      <c r="A2" s="7" t="s">
        <v>14</v>
      </c>
    </row>
    <row r="4" customFormat="false" ht="15" hidden="false" customHeight="false" outlineLevel="0" collapsed="false">
      <c r="A4" s="8" t="s">
        <v>15</v>
      </c>
      <c r="B4" s="9"/>
      <c r="C4" s="9"/>
      <c r="D4" s="9"/>
    </row>
    <row r="5" customFormat="false" ht="15" hidden="false" customHeight="false" outlineLevel="0" collapsed="false">
      <c r="A5" s="10" t="s">
        <v>16</v>
      </c>
      <c r="B5" s="10" t="s">
        <v>17</v>
      </c>
      <c r="C5" s="10" t="s">
        <v>18</v>
      </c>
      <c r="D5" s="10" t="s">
        <v>19</v>
      </c>
    </row>
    <row r="6" customFormat="false" ht="35.05" hidden="false" customHeight="false" outlineLevel="0" collapsed="false">
      <c r="A6" s="4" t="s">
        <v>20</v>
      </c>
      <c r="B6" s="3" t="s">
        <v>21</v>
      </c>
      <c r="C6" s="3" t="s">
        <v>22</v>
      </c>
      <c r="D6" s="3" t="s">
        <v>23</v>
      </c>
    </row>
    <row r="7" customFormat="false" ht="57.45" hidden="false" customHeight="false" outlineLevel="0" collapsed="false">
      <c r="A7" s="4" t="s">
        <v>24</v>
      </c>
      <c r="B7" s="3" t="s">
        <v>25</v>
      </c>
      <c r="C7" s="3" t="s">
        <v>26</v>
      </c>
      <c r="D7" s="3" t="s">
        <v>27</v>
      </c>
    </row>
    <row r="8" customFormat="false" ht="35.05" hidden="false" customHeight="false" outlineLevel="0" collapsed="false">
      <c r="A8" s="4" t="s">
        <v>28</v>
      </c>
      <c r="B8" s="3" t="s">
        <v>29</v>
      </c>
      <c r="C8" s="3" t="s">
        <v>30</v>
      </c>
      <c r="D8" s="3" t="s">
        <v>31</v>
      </c>
    </row>
    <row r="9" customFormat="false" ht="35.05" hidden="false" customHeight="false" outlineLevel="0" collapsed="false">
      <c r="A9" s="4" t="s">
        <v>32</v>
      </c>
      <c r="B9" s="3" t="s">
        <v>33</v>
      </c>
      <c r="C9" s="3" t="s">
        <v>34</v>
      </c>
      <c r="D9" s="3" t="s">
        <v>35</v>
      </c>
    </row>
    <row r="10" customFormat="false" ht="35.05" hidden="false" customHeight="false" outlineLevel="0" collapsed="false">
      <c r="A10" s="4" t="s">
        <v>36</v>
      </c>
      <c r="B10" s="3" t="s">
        <v>37</v>
      </c>
      <c r="C10" s="3" t="s">
        <v>38</v>
      </c>
      <c r="D10" s="3" t="s">
        <v>39</v>
      </c>
    </row>
    <row r="11" customFormat="false" ht="46.25" hidden="false" customHeight="false" outlineLevel="0" collapsed="false">
      <c r="A11" s="4" t="s">
        <v>40</v>
      </c>
      <c r="B11" s="3" t="s">
        <v>41</v>
      </c>
      <c r="C11" s="3" t="s">
        <v>42</v>
      </c>
      <c r="D11" s="3" t="s">
        <v>43</v>
      </c>
    </row>
    <row r="12" customFormat="false" ht="46.25" hidden="false" customHeight="false" outlineLevel="0" collapsed="false">
      <c r="A12" s="4" t="s">
        <v>44</v>
      </c>
      <c r="B12" s="3" t="s">
        <v>45</v>
      </c>
      <c r="C12" s="3" t="s">
        <v>46</v>
      </c>
      <c r="D12" s="3" t="s">
        <v>47</v>
      </c>
    </row>
    <row r="13" customFormat="false" ht="15" hidden="false" customHeight="false" outlineLevel="0" collapsed="false">
      <c r="A13" s="4" t="s">
        <v>48</v>
      </c>
      <c r="B13" s="3" t="s">
        <v>49</v>
      </c>
      <c r="C13" s="3" t="s">
        <v>50</v>
      </c>
      <c r="D13" s="3" t="s">
        <v>51</v>
      </c>
    </row>
    <row r="14" customFormat="false" ht="15" hidden="false" customHeight="false" outlineLevel="0" collapsed="false">
      <c r="A14" s="8" t="s">
        <v>52</v>
      </c>
      <c r="B14" s="9"/>
      <c r="C14" s="9"/>
      <c r="D14" s="9"/>
    </row>
    <row r="15" customFormat="false" ht="15" hidden="false" customHeight="false" outlineLevel="0" collapsed="false">
      <c r="A15" s="10" t="s">
        <v>16</v>
      </c>
      <c r="B15" s="10" t="s">
        <v>17</v>
      </c>
      <c r="C15" s="10" t="s">
        <v>18</v>
      </c>
      <c r="D15" s="10" t="s">
        <v>19</v>
      </c>
    </row>
    <row r="16" customFormat="false" ht="46.25" hidden="false" customHeight="false" outlineLevel="0" collapsed="false">
      <c r="A16" s="4" t="s">
        <v>53</v>
      </c>
      <c r="B16" s="3" t="s">
        <v>54</v>
      </c>
      <c r="C16" s="3" t="s">
        <v>55</v>
      </c>
      <c r="D16" s="3" t="s">
        <v>56</v>
      </c>
    </row>
    <row r="17" customFormat="false" ht="23.85" hidden="false" customHeight="false" outlineLevel="0" collapsed="false">
      <c r="A17" s="4" t="s">
        <v>57</v>
      </c>
      <c r="B17" s="3" t="s">
        <v>58</v>
      </c>
      <c r="C17" s="3" t="s">
        <v>59</v>
      </c>
      <c r="D17" s="3" t="s">
        <v>60</v>
      </c>
    </row>
    <row r="18" customFormat="false" ht="35.05" hidden="false" customHeight="false" outlineLevel="0" collapsed="false">
      <c r="A18" s="4" t="s">
        <v>61</v>
      </c>
      <c r="B18" s="3" t="s">
        <v>62</v>
      </c>
      <c r="C18" s="3" t="s">
        <v>63</v>
      </c>
      <c r="D18" s="3" t="s">
        <v>64</v>
      </c>
    </row>
    <row r="19" customFormat="false" ht="35.05" hidden="false" customHeight="false" outlineLevel="0" collapsed="false">
      <c r="A19" s="4" t="s">
        <v>65</v>
      </c>
      <c r="B19" s="3" t="s">
        <v>66</v>
      </c>
      <c r="C19" s="3" t="s">
        <v>67</v>
      </c>
      <c r="D19" s="3" t="s">
        <v>68</v>
      </c>
    </row>
    <row r="20" customFormat="false" ht="35.05" hidden="false" customHeight="false" outlineLevel="0" collapsed="false">
      <c r="A20" s="4" t="s">
        <v>69</v>
      </c>
      <c r="B20" s="3" t="s">
        <v>70</v>
      </c>
      <c r="C20" s="3" t="s">
        <v>71</v>
      </c>
      <c r="D20" s="3" t="s">
        <v>72</v>
      </c>
    </row>
    <row r="21" customFormat="false" ht="35.05" hidden="false" customHeight="false" outlineLevel="0" collapsed="false">
      <c r="A21" s="4" t="s">
        <v>73</v>
      </c>
      <c r="B21" s="3" t="s">
        <v>74</v>
      </c>
      <c r="C21" s="3" t="s">
        <v>75</v>
      </c>
      <c r="D21" s="3" t="s">
        <v>76</v>
      </c>
    </row>
    <row r="22" customFormat="false" ht="35.05" hidden="false" customHeight="false" outlineLevel="0" collapsed="false">
      <c r="A22" s="4" t="s">
        <v>77</v>
      </c>
      <c r="B22" s="3" t="s">
        <v>78</v>
      </c>
      <c r="C22" s="3" t="s">
        <v>79</v>
      </c>
      <c r="D22" s="3" t="s">
        <v>80</v>
      </c>
    </row>
    <row r="23" customFormat="false" ht="35.05" hidden="false" customHeight="false" outlineLevel="0" collapsed="false">
      <c r="A23" s="4" t="s">
        <v>81</v>
      </c>
      <c r="B23" s="3" t="s">
        <v>82</v>
      </c>
      <c r="C23" s="3" t="s">
        <v>83</v>
      </c>
      <c r="D23" s="3" t="s">
        <v>84</v>
      </c>
    </row>
    <row r="24" customFormat="false" ht="15" hidden="false" customHeight="false" outlineLevel="0" collapsed="false">
      <c r="A24" s="8" t="s">
        <v>85</v>
      </c>
      <c r="B24" s="9"/>
      <c r="C24" s="9"/>
      <c r="D24" s="9"/>
    </row>
    <row r="25" customFormat="false" ht="15" hidden="false" customHeight="false" outlineLevel="0" collapsed="false">
      <c r="A25" s="10" t="s">
        <v>16</v>
      </c>
      <c r="B25" s="10" t="s">
        <v>17</v>
      </c>
      <c r="C25" s="10" t="s">
        <v>18</v>
      </c>
      <c r="D25" s="10" t="s">
        <v>19</v>
      </c>
    </row>
    <row r="26" customFormat="false" ht="46.25" hidden="false" customHeight="false" outlineLevel="0" collapsed="false">
      <c r="A26" s="4" t="s">
        <v>86</v>
      </c>
      <c r="B26" s="3" t="s">
        <v>87</v>
      </c>
      <c r="C26" s="3" t="s">
        <v>88</v>
      </c>
      <c r="D26" s="3" t="s">
        <v>89</v>
      </c>
    </row>
    <row r="27" customFormat="false" ht="23.85" hidden="false" customHeight="false" outlineLevel="0" collapsed="false">
      <c r="A27" s="4" t="s">
        <v>90</v>
      </c>
      <c r="B27" s="3" t="s">
        <v>91</v>
      </c>
      <c r="C27" s="3" t="s">
        <v>92</v>
      </c>
      <c r="D27" s="3" t="s">
        <v>93</v>
      </c>
    </row>
    <row r="28" customFormat="false" ht="23.85" hidden="false" customHeight="false" outlineLevel="0" collapsed="false">
      <c r="A28" s="4" t="s">
        <v>94</v>
      </c>
      <c r="B28" s="3" t="s">
        <v>95</v>
      </c>
      <c r="C28" s="3" t="s">
        <v>96</v>
      </c>
      <c r="D28" s="3" t="s">
        <v>97</v>
      </c>
    </row>
    <row r="29" customFormat="false" ht="23.85" hidden="false" customHeight="false" outlineLevel="0" collapsed="false">
      <c r="A29" s="4" t="s">
        <v>98</v>
      </c>
      <c r="B29" s="3" t="s">
        <v>99</v>
      </c>
      <c r="C29" s="3" t="s">
        <v>100</v>
      </c>
      <c r="D29" s="3" t="s">
        <v>101</v>
      </c>
    </row>
    <row r="30" customFormat="false" ht="23.85" hidden="false" customHeight="false" outlineLevel="0" collapsed="false">
      <c r="A30" s="4" t="s">
        <v>102</v>
      </c>
      <c r="B30" s="3" t="s">
        <v>103</v>
      </c>
      <c r="C30" s="3" t="s">
        <v>104</v>
      </c>
      <c r="D30" s="3" t="s">
        <v>105</v>
      </c>
    </row>
    <row r="31" customFormat="false" ht="23.85" hidden="false" customHeight="false" outlineLevel="0" collapsed="false">
      <c r="A31" s="4" t="s">
        <v>106</v>
      </c>
      <c r="B31" s="3" t="s">
        <v>107</v>
      </c>
      <c r="C31" s="3" t="s">
        <v>108</v>
      </c>
      <c r="D31" s="3" t="s">
        <v>109</v>
      </c>
    </row>
    <row r="32" customFormat="false" ht="35.05" hidden="false" customHeight="false" outlineLevel="0" collapsed="false">
      <c r="A32" s="4" t="s">
        <v>110</v>
      </c>
      <c r="B32" s="3" t="s">
        <v>111</v>
      </c>
      <c r="C32" s="3" t="s">
        <v>112</v>
      </c>
      <c r="D32" s="3" t="s">
        <v>113</v>
      </c>
    </row>
    <row r="33" customFormat="false" ht="35.05" hidden="false" customHeight="false" outlineLevel="0" collapsed="false">
      <c r="A33" s="4" t="s">
        <v>114</v>
      </c>
      <c r="B33" s="3" t="s">
        <v>115</v>
      </c>
      <c r="C33" s="3" t="s">
        <v>116</v>
      </c>
      <c r="D33" s="3" t="s">
        <v>117</v>
      </c>
    </row>
    <row r="34" customFormat="false" ht="35.05" hidden="false" customHeight="false" outlineLevel="0" collapsed="false">
      <c r="A34" s="4" t="s">
        <v>118</v>
      </c>
      <c r="B34" s="3" t="s">
        <v>119</v>
      </c>
      <c r="C34" s="3" t="s">
        <v>120</v>
      </c>
      <c r="D34" s="3" t="s">
        <v>121</v>
      </c>
    </row>
    <row r="35" customFormat="false" ht="35.05" hidden="false" customHeight="false" outlineLevel="0" collapsed="false">
      <c r="A35" s="4" t="s">
        <v>122</v>
      </c>
      <c r="B35" s="3" t="s">
        <v>123</v>
      </c>
      <c r="C35" s="3" t="s">
        <v>124</v>
      </c>
      <c r="D35" s="3" t="s">
        <v>125</v>
      </c>
    </row>
    <row r="36" customFormat="false" ht="46.25" hidden="false" customHeight="false" outlineLevel="0" collapsed="false">
      <c r="A36" s="4" t="s">
        <v>126</v>
      </c>
      <c r="B36" s="3" t="s">
        <v>127</v>
      </c>
      <c r="C36" s="3" t="s">
        <v>128</v>
      </c>
      <c r="D36" s="3" t="s">
        <v>129</v>
      </c>
    </row>
    <row r="37" customFormat="false" ht="23.85" hidden="false" customHeight="false" outlineLevel="0" collapsed="false">
      <c r="A37" s="4" t="s">
        <v>130</v>
      </c>
      <c r="B37" s="3" t="s">
        <v>131</v>
      </c>
      <c r="C37" s="3" t="s">
        <v>132</v>
      </c>
      <c r="D37" s="3" t="s">
        <v>133</v>
      </c>
    </row>
    <row r="38" customFormat="false" ht="35.05" hidden="false" customHeight="false" outlineLevel="0" collapsed="false">
      <c r="A38" s="4" t="s">
        <v>134</v>
      </c>
      <c r="B38" s="3" t="s">
        <v>135</v>
      </c>
      <c r="C38" s="3" t="s">
        <v>136</v>
      </c>
      <c r="D38" s="3" t="s">
        <v>137</v>
      </c>
    </row>
    <row r="39" customFormat="false" ht="35.05" hidden="false" customHeight="false" outlineLevel="0" collapsed="false">
      <c r="A39" s="4" t="s">
        <v>138</v>
      </c>
      <c r="B39" s="3" t="s">
        <v>139</v>
      </c>
      <c r="C39" s="3" t="s">
        <v>140</v>
      </c>
      <c r="D39" s="3" t="s">
        <v>141</v>
      </c>
    </row>
    <row r="40" customFormat="false" ht="15" hidden="false" customHeight="false" outlineLevel="0" collapsed="false">
      <c r="A40" s="8" t="s">
        <v>142</v>
      </c>
      <c r="B40" s="9"/>
      <c r="C40" s="9"/>
      <c r="D40" s="9"/>
    </row>
    <row r="41" customFormat="false" ht="15" hidden="false" customHeight="false" outlineLevel="0" collapsed="false">
      <c r="A41" s="10" t="s">
        <v>16</v>
      </c>
      <c r="B41" s="10" t="s">
        <v>17</v>
      </c>
      <c r="C41" s="10" t="s">
        <v>18</v>
      </c>
      <c r="D41" s="10" t="s">
        <v>19</v>
      </c>
    </row>
    <row r="42" customFormat="false" ht="23.85" hidden="false" customHeight="false" outlineLevel="0" collapsed="false">
      <c r="A42" s="4" t="s">
        <v>143</v>
      </c>
      <c r="B42" s="3" t="s">
        <v>144</v>
      </c>
      <c r="C42" s="3" t="s">
        <v>145</v>
      </c>
      <c r="D42" s="3" t="s">
        <v>146</v>
      </c>
    </row>
    <row r="43" customFormat="false" ht="23.85" hidden="false" customHeight="false" outlineLevel="0" collapsed="false">
      <c r="A43" s="4" t="s">
        <v>147</v>
      </c>
      <c r="B43" s="3" t="s">
        <v>148</v>
      </c>
      <c r="C43" s="3" t="s">
        <v>149</v>
      </c>
      <c r="D43" s="3" t="s">
        <v>150</v>
      </c>
    </row>
    <row r="44" customFormat="false" ht="35.05" hidden="false" customHeight="false" outlineLevel="0" collapsed="false">
      <c r="A44" s="4" t="s">
        <v>151</v>
      </c>
      <c r="B44" s="3" t="s">
        <v>152</v>
      </c>
      <c r="C44" s="3" t="s">
        <v>153</v>
      </c>
      <c r="D44" s="3" t="s">
        <v>154</v>
      </c>
    </row>
    <row r="45" customFormat="false" ht="46.25" hidden="false" customHeight="false" outlineLevel="0" collapsed="false">
      <c r="A45" s="4" t="s">
        <v>155</v>
      </c>
      <c r="B45" s="3" t="s">
        <v>156</v>
      </c>
      <c r="C45" s="3" t="s">
        <v>157</v>
      </c>
      <c r="D45" s="3" t="s">
        <v>158</v>
      </c>
    </row>
    <row r="46" customFormat="false" ht="23.85" hidden="false" customHeight="false" outlineLevel="0" collapsed="false">
      <c r="A46" s="4" t="s">
        <v>159</v>
      </c>
      <c r="B46" s="3" t="s">
        <v>160</v>
      </c>
      <c r="C46" s="3" t="s">
        <v>161</v>
      </c>
      <c r="D46" s="3" t="s">
        <v>162</v>
      </c>
    </row>
    <row r="47" customFormat="false" ht="23.85" hidden="false" customHeight="false" outlineLevel="0" collapsed="false">
      <c r="A47" s="4" t="s">
        <v>163</v>
      </c>
      <c r="B47" s="3" t="s">
        <v>164</v>
      </c>
      <c r="C47" s="3" t="s">
        <v>165</v>
      </c>
      <c r="D47" s="3" t="s">
        <v>166</v>
      </c>
    </row>
    <row r="48" customFormat="false" ht="35.05" hidden="false" customHeight="false" outlineLevel="0" collapsed="false">
      <c r="A48" s="4" t="s">
        <v>167</v>
      </c>
      <c r="B48" s="3" t="s">
        <v>168</v>
      </c>
      <c r="C48" s="3" t="s">
        <v>169</v>
      </c>
      <c r="D48" s="3" t="s">
        <v>170</v>
      </c>
    </row>
    <row r="49" customFormat="false" ht="46.25" hidden="false" customHeight="false" outlineLevel="0" collapsed="false">
      <c r="A49" s="4" t="s">
        <v>171</v>
      </c>
      <c r="B49" s="3" t="s">
        <v>172</v>
      </c>
      <c r="C49" s="3" t="s">
        <v>173</v>
      </c>
      <c r="D49" s="3" t="s">
        <v>174</v>
      </c>
    </row>
    <row r="50" customFormat="false" ht="35.05" hidden="false" customHeight="false" outlineLevel="0" collapsed="false">
      <c r="A50" s="4" t="s">
        <v>175</v>
      </c>
      <c r="B50" s="3" t="s">
        <v>176</v>
      </c>
      <c r="C50" s="3" t="s">
        <v>177</v>
      </c>
      <c r="D50" s="3" t="s">
        <v>178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9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4" min="4" style="0" width="16"/>
    <col collapsed="false" customWidth="true" hidden="false" outlineLevel="0" max="5" min="5" style="0" width="70"/>
  </cols>
  <sheetData>
    <row r="1" customFormat="false" ht="16.15" hidden="false" customHeight="false" outlineLevel="0" collapsed="false">
      <c r="A1" s="6" t="s">
        <v>179</v>
      </c>
    </row>
    <row r="2" customFormat="false" ht="15" hidden="false" customHeight="false" outlineLevel="0" collapsed="false">
      <c r="A2" s="7" t="s">
        <v>180</v>
      </c>
    </row>
    <row r="3" customFormat="false" ht="15" hidden="false" customHeight="false" outlineLevel="0" collapsed="false">
      <c r="A3" s="7" t="s">
        <v>181</v>
      </c>
    </row>
    <row r="5" customFormat="false" ht="15" hidden="false" customHeight="false" outlineLevel="0" collapsed="false">
      <c r="A5" s="8" t="s">
        <v>182</v>
      </c>
      <c r="B5" s="9"/>
      <c r="C5" s="9"/>
      <c r="D5" s="9"/>
      <c r="E5" s="9"/>
    </row>
    <row r="6" customFormat="false" ht="15" hidden="false" customHeight="false" outlineLevel="0" collapsed="false">
      <c r="A6" s="11" t="s">
        <v>183</v>
      </c>
      <c r="B6" s="11" t="s">
        <v>184</v>
      </c>
      <c r="C6" s="11" t="s">
        <v>185</v>
      </c>
      <c r="E6" s="11" t="s">
        <v>186</v>
      </c>
    </row>
    <row r="7" customFormat="false" ht="15" hidden="false" customHeight="false" outlineLevel="0" collapsed="false">
      <c r="A7" s="12" t="s">
        <v>187</v>
      </c>
      <c r="B7" s="13" t="n">
        <v>32</v>
      </c>
      <c r="C7" s="7" t="s">
        <v>188</v>
      </c>
      <c r="E7" s="7" t="s">
        <v>189</v>
      </c>
    </row>
    <row r="8" customFormat="false" ht="15" hidden="false" customHeight="false" outlineLevel="0" collapsed="false">
      <c r="A8" s="12" t="s">
        <v>190</v>
      </c>
      <c r="B8" s="14" t="n">
        <v>529.5</v>
      </c>
      <c r="C8" s="7" t="s">
        <v>191</v>
      </c>
      <c r="E8" s="7" t="s">
        <v>192</v>
      </c>
    </row>
    <row r="9" customFormat="false" ht="15" hidden="false" customHeight="false" outlineLevel="0" collapsed="false">
      <c r="A9" s="12" t="s">
        <v>193</v>
      </c>
      <c r="B9" s="13" t="n">
        <v>1.85</v>
      </c>
      <c r="C9" s="7" t="s">
        <v>188</v>
      </c>
      <c r="E9" s="7" t="s">
        <v>194</v>
      </c>
    </row>
    <row r="10" customFormat="false" ht="15" hidden="false" customHeight="false" outlineLevel="0" collapsed="false">
      <c r="A10" s="12" t="s">
        <v>195</v>
      </c>
      <c r="B10" s="15" t="s">
        <v>196</v>
      </c>
      <c r="C10" s="7" t="s">
        <v>188</v>
      </c>
      <c r="E10" s="7" t="s">
        <v>197</v>
      </c>
    </row>
    <row r="11" customFormat="false" ht="15" hidden="false" customHeight="false" outlineLevel="0" collapsed="false">
      <c r="A11" s="12" t="s">
        <v>198</v>
      </c>
      <c r="B11" s="13" t="n">
        <v>29</v>
      </c>
      <c r="C11" s="7" t="s">
        <v>188</v>
      </c>
      <c r="E11" s="7" t="s">
        <v>199</v>
      </c>
    </row>
    <row r="12" customFormat="false" ht="15" hidden="false" customHeight="false" outlineLevel="0" collapsed="false">
      <c r="A12" s="12" t="s">
        <v>200</v>
      </c>
      <c r="B12" s="13" t="n">
        <v>50</v>
      </c>
      <c r="C12" s="7" t="s">
        <v>188</v>
      </c>
      <c r="E12" s="7" t="s">
        <v>199</v>
      </c>
    </row>
    <row r="13" customFormat="false" ht="15" hidden="false" customHeight="false" outlineLevel="0" collapsed="false">
      <c r="A13" s="12" t="s">
        <v>201</v>
      </c>
      <c r="B13" s="16" t="n">
        <v>-0.2</v>
      </c>
      <c r="C13" s="7" t="s">
        <v>188</v>
      </c>
      <c r="E13" s="7" t="s">
        <v>202</v>
      </c>
    </row>
    <row r="14" customFormat="false" ht="15" hidden="false" customHeight="false" outlineLevel="0" collapsed="false">
      <c r="A14" s="12" t="s">
        <v>203</v>
      </c>
      <c r="B14" s="16" t="n">
        <v>-0.23</v>
      </c>
      <c r="C14" s="7" t="s">
        <v>188</v>
      </c>
      <c r="E14" s="7" t="s">
        <v>202</v>
      </c>
    </row>
    <row r="15" customFormat="false" ht="15" hidden="false" customHeight="false" outlineLevel="0" collapsed="false">
      <c r="A15" s="12" t="s">
        <v>204</v>
      </c>
      <c r="B15" s="17" t="n">
        <v>9217</v>
      </c>
      <c r="C15" s="7" t="s">
        <v>191</v>
      </c>
      <c r="E15" s="7" t="s">
        <v>205</v>
      </c>
    </row>
    <row r="16" customFormat="false" ht="15" hidden="false" customHeight="false" outlineLevel="0" collapsed="false">
      <c r="A16" s="12" t="s">
        <v>206</v>
      </c>
      <c r="B16" s="17" t="n">
        <v>726</v>
      </c>
      <c r="C16" s="7" t="s">
        <v>191</v>
      </c>
      <c r="E16" s="7" t="s">
        <v>207</v>
      </c>
    </row>
    <row r="18" customFormat="false" ht="15" hidden="false" customHeight="false" outlineLevel="0" collapsed="false">
      <c r="A18" s="8" t="s">
        <v>208</v>
      </c>
      <c r="B18" s="9"/>
      <c r="C18" s="9"/>
      <c r="D18" s="9"/>
      <c r="E18" s="9"/>
    </row>
    <row r="19" customFormat="false" ht="15" hidden="false" customHeight="false" outlineLevel="0" collapsed="false">
      <c r="A19" s="12" t="s">
        <v>209</v>
      </c>
      <c r="B19" s="17" t="n">
        <v>8482</v>
      </c>
      <c r="C19" s="7" t="s">
        <v>191</v>
      </c>
      <c r="E19" s="7" t="s">
        <v>210</v>
      </c>
    </row>
    <row r="20" customFormat="false" ht="15" hidden="false" customHeight="false" outlineLevel="0" collapsed="false">
      <c r="A20" s="12" t="s">
        <v>211</v>
      </c>
      <c r="B20" s="17" t="n">
        <v>8116</v>
      </c>
      <c r="C20" s="7" t="s">
        <v>191</v>
      </c>
      <c r="E20" s="7" t="s">
        <v>212</v>
      </c>
    </row>
    <row r="21" customFormat="false" ht="15" hidden="false" customHeight="false" outlineLevel="0" collapsed="false">
      <c r="A21" s="12" t="s">
        <v>213</v>
      </c>
      <c r="B21" s="17" t="n">
        <v>112</v>
      </c>
      <c r="C21" s="7" t="s">
        <v>191</v>
      </c>
      <c r="E21" s="7" t="s">
        <v>214</v>
      </c>
    </row>
    <row r="22" customFormat="false" ht="15" hidden="false" customHeight="false" outlineLevel="0" collapsed="false">
      <c r="A22" s="12" t="s">
        <v>215</v>
      </c>
      <c r="B22" s="17" t="n">
        <v>218</v>
      </c>
      <c r="C22" s="7" t="s">
        <v>191</v>
      </c>
      <c r="E22" s="7" t="s">
        <v>216</v>
      </c>
    </row>
    <row r="23" customFormat="false" ht="15" hidden="false" customHeight="false" outlineLevel="0" collapsed="false">
      <c r="A23" s="12" t="s">
        <v>217</v>
      </c>
      <c r="B23" s="17" t="n">
        <v>144</v>
      </c>
      <c r="C23" s="7" t="s">
        <v>191</v>
      </c>
      <c r="E23" s="7" t="s">
        <v>218</v>
      </c>
    </row>
    <row r="24" customFormat="false" ht="15" hidden="false" customHeight="false" outlineLevel="0" collapsed="false">
      <c r="A24" s="12" t="s">
        <v>219</v>
      </c>
      <c r="B24" s="17" t="n">
        <v>486</v>
      </c>
      <c r="C24" s="7" t="s">
        <v>191</v>
      </c>
      <c r="E24" s="7" t="s">
        <v>220</v>
      </c>
    </row>
    <row r="25" customFormat="false" ht="15" hidden="false" customHeight="false" outlineLevel="0" collapsed="false">
      <c r="A25" s="12" t="s">
        <v>221</v>
      </c>
      <c r="B25" s="17" t="n">
        <v>342</v>
      </c>
      <c r="C25" s="7" t="s">
        <v>191</v>
      </c>
      <c r="E25" s="7" t="s">
        <v>222</v>
      </c>
    </row>
    <row r="26" customFormat="false" ht="15" hidden="false" customHeight="false" outlineLevel="0" collapsed="false">
      <c r="A26" s="12" t="s">
        <v>223</v>
      </c>
      <c r="B26" s="17" t="n">
        <v>133</v>
      </c>
      <c r="C26" s="7" t="s">
        <v>191</v>
      </c>
      <c r="E26" s="7" t="s">
        <v>224</v>
      </c>
    </row>
    <row r="27" customFormat="false" ht="15" hidden="false" customHeight="false" outlineLevel="0" collapsed="false">
      <c r="A27" s="12" t="s">
        <v>225</v>
      </c>
      <c r="B27" s="17" t="n">
        <v>707</v>
      </c>
      <c r="C27" s="7" t="s">
        <v>191</v>
      </c>
      <c r="E27" s="7" t="s">
        <v>226</v>
      </c>
    </row>
    <row r="28" customFormat="false" ht="15" hidden="false" customHeight="false" outlineLevel="0" collapsed="false">
      <c r="A28" s="12" t="s">
        <v>227</v>
      </c>
      <c r="B28" s="17" t="n">
        <v>71</v>
      </c>
      <c r="C28" s="7" t="s">
        <v>191</v>
      </c>
      <c r="E28" s="7" t="s">
        <v>228</v>
      </c>
    </row>
    <row r="29" customFormat="false" ht="15" hidden="false" customHeight="false" outlineLevel="0" collapsed="false">
      <c r="A29" s="12" t="s">
        <v>229</v>
      </c>
      <c r="B29" s="17" t="n">
        <v>270</v>
      </c>
      <c r="C29" s="7" t="s">
        <v>191</v>
      </c>
      <c r="E29" s="7" t="s">
        <v>230</v>
      </c>
    </row>
    <row r="30" customFormat="false" ht="15" hidden="false" customHeight="false" outlineLevel="0" collapsed="false">
      <c r="A30" s="12" t="s">
        <v>231</v>
      </c>
      <c r="B30" s="17" t="n">
        <v>103</v>
      </c>
      <c r="C30" s="7" t="s">
        <v>191</v>
      </c>
      <c r="E30" s="7" t="s">
        <v>232</v>
      </c>
    </row>
    <row r="31" customFormat="false" ht="15" hidden="false" customHeight="false" outlineLevel="0" collapsed="false">
      <c r="A31" s="12" t="s">
        <v>233</v>
      </c>
      <c r="B31" s="17" t="n">
        <v>48</v>
      </c>
      <c r="C31" s="7" t="s">
        <v>191</v>
      </c>
      <c r="E31" s="7" t="s">
        <v>234</v>
      </c>
    </row>
    <row r="32" customFormat="false" ht="15" hidden="false" customHeight="false" outlineLevel="0" collapsed="false">
      <c r="A32" s="12" t="s">
        <v>235</v>
      </c>
      <c r="B32" s="17" t="n">
        <v>487</v>
      </c>
      <c r="C32" s="7" t="s">
        <v>191</v>
      </c>
      <c r="E32" s="7" t="s">
        <v>236</v>
      </c>
    </row>
    <row r="33" customFormat="false" ht="15" hidden="false" customHeight="false" outlineLevel="0" collapsed="false">
      <c r="A33" s="12" t="s">
        <v>237</v>
      </c>
      <c r="B33" s="17" t="n">
        <v>2349</v>
      </c>
      <c r="C33" s="7" t="s">
        <v>191</v>
      </c>
      <c r="E33" s="7" t="s">
        <v>238</v>
      </c>
    </row>
    <row r="34" customFormat="false" ht="15" hidden="false" customHeight="false" outlineLevel="0" collapsed="false">
      <c r="A34" s="12" t="s">
        <v>239</v>
      </c>
      <c r="B34" s="17" t="n">
        <v>2127</v>
      </c>
      <c r="C34" s="7" t="s">
        <v>191</v>
      </c>
      <c r="E34" s="7" t="s">
        <v>240</v>
      </c>
    </row>
    <row r="35" customFormat="false" ht="15" hidden="false" customHeight="false" outlineLevel="0" collapsed="false">
      <c r="A35" s="12" t="s">
        <v>241</v>
      </c>
      <c r="B35" s="17" t="n">
        <v>2584</v>
      </c>
      <c r="C35" s="7" t="s">
        <v>191</v>
      </c>
      <c r="E35" s="7" t="s">
        <v>242</v>
      </c>
    </row>
    <row r="36" customFormat="false" ht="15" hidden="false" customHeight="false" outlineLevel="0" collapsed="false">
      <c r="A36" s="12" t="s">
        <v>243</v>
      </c>
      <c r="B36" s="17" t="n">
        <v>344</v>
      </c>
      <c r="C36" s="7" t="s">
        <v>191</v>
      </c>
      <c r="E36" s="7" t="s">
        <v>244</v>
      </c>
    </row>
    <row r="37" customFormat="false" ht="15" hidden="false" customHeight="false" outlineLevel="0" collapsed="false">
      <c r="A37" s="12" t="s">
        <v>245</v>
      </c>
      <c r="B37" s="17" t="n">
        <v>274</v>
      </c>
      <c r="C37" s="7" t="s">
        <v>191</v>
      </c>
      <c r="E37" s="7" t="s">
        <v>246</v>
      </c>
    </row>
    <row r="38" customFormat="false" ht="15" hidden="false" customHeight="false" outlineLevel="0" collapsed="false">
      <c r="A38" s="12" t="s">
        <v>247</v>
      </c>
      <c r="B38" s="18" t="n">
        <v>0</v>
      </c>
      <c r="C38" s="7" t="s">
        <v>248</v>
      </c>
      <c r="E38" s="7" t="s">
        <v>249</v>
      </c>
    </row>
    <row r="39" customFormat="false" ht="15" hidden="false" customHeight="false" outlineLevel="0" collapsed="false">
      <c r="A39" s="12" t="s">
        <v>250</v>
      </c>
      <c r="B39" s="19" t="n">
        <f aca="false">(Inputs!$B$25+Inputs!$B$26+Inputs!$B$29+Inputs!$B$30)*(1-Inputs!$B$78)-Inputs!$B$24*(1-Inputs!$B$78)*Inputs!$B$38+Inputs!$B$31+Inputs!$B$32-(Inputs!$B$33-Inputs!$B$34)</f>
        <v>957.48</v>
      </c>
      <c r="C39" s="7" t="s">
        <v>251</v>
      </c>
      <c r="E39" s="7" t="s">
        <v>252</v>
      </c>
    </row>
    <row r="41" customFormat="false" ht="15" hidden="false" customHeight="false" outlineLevel="0" collapsed="false">
      <c r="A41" s="8" t="s">
        <v>253</v>
      </c>
      <c r="B41" s="9"/>
      <c r="C41" s="9"/>
      <c r="D41" s="9"/>
      <c r="E41" s="9"/>
    </row>
    <row r="42" customFormat="false" ht="15" hidden="false" customHeight="false" outlineLevel="0" collapsed="false">
      <c r="A42" s="12" t="s">
        <v>254</v>
      </c>
      <c r="B42" s="17" t="n">
        <v>15000</v>
      </c>
      <c r="C42" s="7" t="s">
        <v>191</v>
      </c>
      <c r="E42" s="7" t="s">
        <v>255</v>
      </c>
    </row>
    <row r="43" customFormat="false" ht="15" hidden="false" customHeight="false" outlineLevel="0" collapsed="false">
      <c r="A43" s="12" t="s">
        <v>256</v>
      </c>
      <c r="B43" s="17" t="n">
        <v>8500</v>
      </c>
      <c r="C43" s="7" t="s">
        <v>191</v>
      </c>
      <c r="E43" s="7" t="s">
        <v>257</v>
      </c>
    </row>
    <row r="44" customFormat="false" ht="15" hidden="false" customHeight="false" outlineLevel="0" collapsed="false">
      <c r="A44" s="12" t="s">
        <v>258</v>
      </c>
      <c r="B44" s="17" t="n">
        <v>2300</v>
      </c>
      <c r="C44" s="7" t="s">
        <v>191</v>
      </c>
      <c r="E44" s="7" t="s">
        <v>259</v>
      </c>
    </row>
    <row r="45" customFormat="false" ht="15" hidden="false" customHeight="false" outlineLevel="0" collapsed="false">
      <c r="A45" s="12" t="s">
        <v>260</v>
      </c>
      <c r="B45" s="17" t="n">
        <v>800</v>
      </c>
      <c r="C45" s="7" t="s">
        <v>191</v>
      </c>
      <c r="E45" s="7" t="s">
        <v>261</v>
      </c>
    </row>
    <row r="46" customFormat="false" ht="15" hidden="false" customHeight="false" outlineLevel="0" collapsed="false">
      <c r="A46" s="12" t="s">
        <v>262</v>
      </c>
      <c r="B46" s="17" t="n">
        <v>-159</v>
      </c>
      <c r="C46" s="7" t="s">
        <v>191</v>
      </c>
      <c r="E46" s="7" t="s">
        <v>263</v>
      </c>
    </row>
    <row r="47" customFormat="false" ht="15" hidden="false" customHeight="false" outlineLevel="0" collapsed="false">
      <c r="A47" s="12" t="s">
        <v>264</v>
      </c>
      <c r="B47" s="17" t="n">
        <v>11975</v>
      </c>
      <c r="C47" s="7" t="s">
        <v>191</v>
      </c>
      <c r="E47" s="7" t="s">
        <v>265</v>
      </c>
    </row>
    <row r="48" customFormat="false" ht="15" hidden="false" customHeight="false" outlineLevel="0" collapsed="false">
      <c r="A48" s="12" t="s">
        <v>266</v>
      </c>
      <c r="B48" s="17" t="n">
        <v>1264</v>
      </c>
      <c r="C48" s="7" t="s">
        <v>191</v>
      </c>
      <c r="E48" s="7" t="s">
        <v>267</v>
      </c>
    </row>
    <row r="49" customFormat="false" ht="15" hidden="false" customHeight="false" outlineLevel="0" collapsed="false">
      <c r="A49" s="12" t="s">
        <v>268</v>
      </c>
      <c r="B49" s="17" t="n">
        <v>1050</v>
      </c>
      <c r="C49" s="7" t="s">
        <v>191</v>
      </c>
      <c r="E49" s="7" t="s">
        <v>269</v>
      </c>
    </row>
    <row r="50" customFormat="false" ht="15" hidden="false" customHeight="false" outlineLevel="0" collapsed="false">
      <c r="A50" s="12" t="s">
        <v>270</v>
      </c>
      <c r="B50" s="17" t="n">
        <v>3200</v>
      </c>
      <c r="C50" s="7" t="s">
        <v>271</v>
      </c>
      <c r="E50" s="7" t="s">
        <v>272</v>
      </c>
    </row>
    <row r="51" customFormat="false" ht="15" hidden="false" customHeight="false" outlineLevel="0" collapsed="false">
      <c r="A51" s="12" t="s">
        <v>273</v>
      </c>
      <c r="B51" s="17" t="n">
        <v>3400</v>
      </c>
      <c r="C51" s="7" t="s">
        <v>271</v>
      </c>
      <c r="E51" s="7" t="s">
        <v>274</v>
      </c>
    </row>
    <row r="52" customFormat="false" ht="15" hidden="false" customHeight="false" outlineLevel="0" collapsed="false">
      <c r="A52" s="12" t="s">
        <v>275</v>
      </c>
      <c r="B52" s="17" t="n">
        <v>3500</v>
      </c>
      <c r="C52" s="7" t="s">
        <v>271</v>
      </c>
      <c r="E52" s="7" t="s">
        <v>276</v>
      </c>
    </row>
    <row r="53" customFormat="false" ht="15" hidden="false" customHeight="false" outlineLevel="0" collapsed="false">
      <c r="A53" s="12" t="s">
        <v>277</v>
      </c>
      <c r="B53" s="17" t="n">
        <v>3700</v>
      </c>
      <c r="C53" s="7" t="s">
        <v>271</v>
      </c>
      <c r="E53" s="7" t="s">
        <v>278</v>
      </c>
    </row>
    <row r="54" customFormat="false" ht="15" hidden="false" customHeight="false" outlineLevel="0" collapsed="false">
      <c r="A54" s="12" t="s">
        <v>279</v>
      </c>
      <c r="B54" s="17" t="n">
        <v>2425</v>
      </c>
      <c r="C54" s="7" t="s">
        <v>271</v>
      </c>
      <c r="E54" s="7" t="s">
        <v>280</v>
      </c>
    </row>
    <row r="55" customFormat="false" ht="15" hidden="false" customHeight="false" outlineLevel="0" collapsed="false">
      <c r="A55" s="12" t="s">
        <v>281</v>
      </c>
      <c r="B55" s="17" t="n">
        <v>950</v>
      </c>
      <c r="C55" s="7" t="s">
        <v>271</v>
      </c>
      <c r="E55" s="7" t="s">
        <v>282</v>
      </c>
    </row>
    <row r="56" customFormat="false" ht="15" hidden="false" customHeight="false" outlineLevel="0" collapsed="false">
      <c r="A56" s="12" t="s">
        <v>283</v>
      </c>
      <c r="B56" s="17" t="n">
        <v>1965</v>
      </c>
      <c r="C56" s="7" t="s">
        <v>271</v>
      </c>
      <c r="E56" s="7" t="s">
        <v>284</v>
      </c>
    </row>
    <row r="57" customFormat="false" ht="15" hidden="false" customHeight="false" outlineLevel="0" collapsed="false">
      <c r="A57" s="12" t="s">
        <v>285</v>
      </c>
      <c r="B57" s="17" t="n">
        <v>370</v>
      </c>
      <c r="C57" s="7" t="s">
        <v>271</v>
      </c>
      <c r="E57" s="7" t="s">
        <v>286</v>
      </c>
    </row>
    <row r="58" customFormat="false" ht="15" hidden="false" customHeight="false" outlineLevel="0" collapsed="false">
      <c r="A58" s="12" t="s">
        <v>287</v>
      </c>
      <c r="B58" s="17" t="n">
        <v>400</v>
      </c>
      <c r="C58" s="7" t="s">
        <v>271</v>
      </c>
      <c r="E58" s="7" t="s">
        <v>288</v>
      </c>
    </row>
    <row r="59" customFormat="false" ht="15" hidden="false" customHeight="false" outlineLevel="0" collapsed="false">
      <c r="A59" s="12" t="s">
        <v>289</v>
      </c>
      <c r="B59" s="20" t="n">
        <v>250</v>
      </c>
      <c r="C59" s="7" t="s">
        <v>248</v>
      </c>
      <c r="E59" s="7" t="s">
        <v>290</v>
      </c>
    </row>
    <row r="61" customFormat="false" ht="15" hidden="false" customHeight="false" outlineLevel="0" collapsed="false">
      <c r="A61" s="8" t="s">
        <v>291</v>
      </c>
      <c r="B61" s="9"/>
      <c r="C61" s="9"/>
      <c r="D61" s="9"/>
      <c r="E61" s="9"/>
    </row>
    <row r="62" customFormat="false" ht="15" hidden="false" customHeight="false" outlineLevel="0" collapsed="false">
      <c r="A62" s="12" t="s">
        <v>292</v>
      </c>
      <c r="B62" s="17" t="n">
        <v>170</v>
      </c>
      <c r="C62" s="7" t="s">
        <v>188</v>
      </c>
      <c r="E62" s="7" t="s">
        <v>293</v>
      </c>
    </row>
    <row r="63" customFormat="false" ht="15" hidden="false" customHeight="false" outlineLevel="0" collapsed="false">
      <c r="A63" s="12" t="s">
        <v>294</v>
      </c>
      <c r="B63" s="17" t="n">
        <v>9</v>
      </c>
      <c r="C63" s="7" t="s">
        <v>271</v>
      </c>
      <c r="E63" s="7" t="s">
        <v>295</v>
      </c>
    </row>
    <row r="64" customFormat="false" ht="15" hidden="false" customHeight="false" outlineLevel="0" collapsed="false">
      <c r="A64" s="12" t="s">
        <v>296</v>
      </c>
      <c r="B64" s="17" t="n">
        <v>175</v>
      </c>
      <c r="C64" s="7" t="s">
        <v>271</v>
      </c>
      <c r="E64" s="7" t="s">
        <v>297</v>
      </c>
    </row>
    <row r="65" customFormat="false" ht="15" hidden="false" customHeight="false" outlineLevel="0" collapsed="false">
      <c r="A65" s="12" t="s">
        <v>298</v>
      </c>
      <c r="B65" s="21" t="n">
        <v>0.5</v>
      </c>
      <c r="C65" s="7" t="s">
        <v>248</v>
      </c>
      <c r="E65" s="7" t="s">
        <v>299</v>
      </c>
    </row>
    <row r="66" customFormat="false" ht="15" hidden="false" customHeight="false" outlineLevel="0" collapsed="false">
      <c r="A66" s="12" t="s">
        <v>300</v>
      </c>
      <c r="B66" s="21" t="n">
        <v>0.01</v>
      </c>
      <c r="C66" s="7" t="s">
        <v>248</v>
      </c>
      <c r="E66" s="7" t="s">
        <v>301</v>
      </c>
    </row>
    <row r="67" customFormat="false" ht="15" hidden="false" customHeight="false" outlineLevel="0" collapsed="false">
      <c r="A67" s="12" t="s">
        <v>302</v>
      </c>
      <c r="B67" s="21" t="n">
        <v>0.3</v>
      </c>
      <c r="C67" s="7" t="s">
        <v>248</v>
      </c>
      <c r="E67" s="7" t="s">
        <v>303</v>
      </c>
    </row>
    <row r="68" customFormat="false" ht="15" hidden="false" customHeight="false" outlineLevel="0" collapsed="false">
      <c r="A68" s="12" t="s">
        <v>304</v>
      </c>
      <c r="B68" s="20" t="n">
        <v>300</v>
      </c>
      <c r="C68" s="7" t="s">
        <v>248</v>
      </c>
      <c r="E68" s="7" t="s">
        <v>305</v>
      </c>
    </row>
    <row r="69" customFormat="false" ht="15" hidden="false" customHeight="false" outlineLevel="0" collapsed="false">
      <c r="A69" s="12" t="s">
        <v>306</v>
      </c>
      <c r="B69" s="20" t="n">
        <v>250</v>
      </c>
      <c r="C69" s="7" t="s">
        <v>248</v>
      </c>
      <c r="E69" s="7" t="s">
        <v>307</v>
      </c>
    </row>
    <row r="70" customFormat="false" ht="15" hidden="false" customHeight="false" outlineLevel="0" collapsed="false">
      <c r="A70" s="12" t="s">
        <v>308</v>
      </c>
      <c r="B70" s="20" t="n">
        <v>150</v>
      </c>
      <c r="C70" s="7" t="s">
        <v>248</v>
      </c>
      <c r="E70" s="7" t="s">
        <v>309</v>
      </c>
    </row>
    <row r="71" customFormat="false" ht="15" hidden="false" customHeight="false" outlineLevel="0" collapsed="false">
      <c r="A71" s="12" t="s">
        <v>310</v>
      </c>
      <c r="B71" s="21" t="n">
        <v>0.17</v>
      </c>
      <c r="C71" s="7" t="s">
        <v>248</v>
      </c>
      <c r="E71" s="7" t="s">
        <v>311</v>
      </c>
    </row>
    <row r="72" customFormat="false" ht="15" hidden="false" customHeight="false" outlineLevel="0" collapsed="false">
      <c r="A72" s="12" t="s">
        <v>312</v>
      </c>
      <c r="B72" s="21" t="n">
        <v>0.11</v>
      </c>
      <c r="C72" s="7" t="s">
        <v>248</v>
      </c>
      <c r="E72" s="7" t="s">
        <v>313</v>
      </c>
    </row>
    <row r="73" customFormat="false" ht="15" hidden="false" customHeight="false" outlineLevel="0" collapsed="false">
      <c r="A73" s="12" t="s">
        <v>314</v>
      </c>
      <c r="B73" s="21" t="n">
        <v>0.025</v>
      </c>
      <c r="C73" s="7" t="s">
        <v>248</v>
      </c>
      <c r="E73" s="7" t="s">
        <v>315</v>
      </c>
    </row>
    <row r="74" customFormat="false" ht="15" hidden="false" customHeight="false" outlineLevel="0" collapsed="false">
      <c r="A74" s="12" t="s">
        <v>316</v>
      </c>
      <c r="B74" s="20" t="n">
        <v>1900</v>
      </c>
      <c r="C74" s="7" t="s">
        <v>248</v>
      </c>
      <c r="E74" s="7" t="s">
        <v>317</v>
      </c>
    </row>
    <row r="75" customFormat="false" ht="15" hidden="false" customHeight="false" outlineLevel="0" collapsed="false">
      <c r="A75" s="12" t="s">
        <v>318</v>
      </c>
      <c r="B75" s="21" t="n">
        <v>0.065</v>
      </c>
      <c r="C75" s="7" t="s">
        <v>248</v>
      </c>
      <c r="E75" s="7" t="s">
        <v>319</v>
      </c>
    </row>
    <row r="76" customFormat="false" ht="15" hidden="false" customHeight="false" outlineLevel="0" collapsed="false">
      <c r="A76" s="12" t="s">
        <v>320</v>
      </c>
      <c r="B76" s="21" t="n">
        <v>0.08</v>
      </c>
      <c r="C76" s="7" t="s">
        <v>248</v>
      </c>
      <c r="E76" s="7" t="s">
        <v>321</v>
      </c>
    </row>
    <row r="77" customFormat="false" ht="15" hidden="false" customHeight="false" outlineLevel="0" collapsed="false">
      <c r="A77" s="12" t="s">
        <v>322</v>
      </c>
      <c r="B77" s="21" t="n">
        <v>0.1</v>
      </c>
      <c r="C77" s="7" t="s">
        <v>248</v>
      </c>
      <c r="E77" s="7" t="s">
        <v>323</v>
      </c>
    </row>
    <row r="78" customFormat="false" ht="15" hidden="false" customHeight="false" outlineLevel="0" collapsed="false">
      <c r="A78" s="12" t="s">
        <v>324</v>
      </c>
      <c r="B78" s="21" t="n">
        <v>0.24</v>
      </c>
      <c r="C78" s="7" t="s">
        <v>248</v>
      </c>
      <c r="E78" s="7" t="s">
        <v>325</v>
      </c>
    </row>
    <row r="80" customFormat="false" ht="15" hidden="false" customHeight="false" outlineLevel="0" collapsed="false">
      <c r="A80" s="8" t="s">
        <v>326</v>
      </c>
      <c r="B80" s="9"/>
      <c r="C80" s="9"/>
      <c r="D80" s="9"/>
      <c r="E80" s="9"/>
    </row>
    <row r="81" customFormat="false" ht="15" hidden="false" customHeight="false" outlineLevel="0" collapsed="false">
      <c r="A81" s="12" t="s">
        <v>327</v>
      </c>
      <c r="B81" s="21" t="n">
        <v>0.04</v>
      </c>
      <c r="C81" s="7" t="s">
        <v>188</v>
      </c>
      <c r="E81" s="7" t="s">
        <v>328</v>
      </c>
    </row>
    <row r="82" customFormat="false" ht="15" hidden="false" customHeight="false" outlineLevel="0" collapsed="false">
      <c r="A82" s="12" t="s">
        <v>329</v>
      </c>
      <c r="B82" s="22" t="n">
        <v>1.1</v>
      </c>
      <c r="C82" s="7" t="s">
        <v>248</v>
      </c>
      <c r="E82" s="7" t="s">
        <v>330</v>
      </c>
    </row>
    <row r="83" customFormat="false" ht="15" hidden="false" customHeight="false" outlineLevel="0" collapsed="false">
      <c r="A83" s="12" t="s">
        <v>331</v>
      </c>
      <c r="B83" s="21" t="n">
        <v>0.045</v>
      </c>
      <c r="C83" s="7" t="s">
        <v>248</v>
      </c>
      <c r="E83" s="7" t="s">
        <v>332</v>
      </c>
    </row>
    <row r="84" customFormat="false" ht="15" hidden="false" customHeight="false" outlineLevel="0" collapsed="false">
      <c r="A84" s="12" t="s">
        <v>333</v>
      </c>
      <c r="B84" s="21" t="n">
        <v>0.055</v>
      </c>
      <c r="C84" s="7" t="s">
        <v>188</v>
      </c>
      <c r="E84" s="7" t="s">
        <v>334</v>
      </c>
    </row>
    <row r="85" customFormat="false" ht="15" hidden="false" customHeight="false" outlineLevel="0" collapsed="false">
      <c r="A85" s="12" t="s">
        <v>335</v>
      </c>
      <c r="B85" s="21" t="n">
        <v>0.02</v>
      </c>
      <c r="C85" s="7" t="s">
        <v>248</v>
      </c>
      <c r="E85" s="7" t="s">
        <v>336</v>
      </c>
    </row>
    <row r="86" customFormat="false" ht="15" hidden="false" customHeight="false" outlineLevel="0" collapsed="false">
      <c r="A86" s="12" t="s">
        <v>337</v>
      </c>
      <c r="B86" s="23" t="n">
        <v>8</v>
      </c>
      <c r="C86" s="7" t="s">
        <v>248</v>
      </c>
      <c r="E86" s="7" t="s">
        <v>338</v>
      </c>
    </row>
    <row r="88" customFormat="false" ht="15" hidden="false" customHeight="false" outlineLevel="0" collapsed="false">
      <c r="A88" s="8" t="s">
        <v>339</v>
      </c>
      <c r="B88" s="9"/>
      <c r="C88" s="9"/>
      <c r="D88" s="9"/>
      <c r="E88" s="9"/>
    </row>
    <row r="89" customFormat="false" ht="15" hidden="false" customHeight="false" outlineLevel="0" collapsed="false">
      <c r="A89" s="12" t="s">
        <v>340</v>
      </c>
      <c r="B89" s="24" t="n">
        <v>12.2</v>
      </c>
      <c r="C89" s="7" t="s">
        <v>188</v>
      </c>
      <c r="E89" s="7" t="s">
        <v>341</v>
      </c>
    </row>
    <row r="90" customFormat="false" ht="15" hidden="false" customHeight="false" outlineLevel="0" collapsed="false">
      <c r="A90" s="12" t="s">
        <v>342</v>
      </c>
      <c r="B90" s="16" t="n">
        <v>0.21</v>
      </c>
      <c r="C90" s="7" t="s">
        <v>188</v>
      </c>
      <c r="E90" s="7" t="s">
        <v>343</v>
      </c>
    </row>
    <row r="91" customFormat="false" ht="15" hidden="false" customHeight="false" outlineLevel="0" collapsed="false">
      <c r="A91" s="12" t="s">
        <v>344</v>
      </c>
      <c r="B91" s="24" t="n">
        <v>7.2</v>
      </c>
      <c r="C91" s="7" t="s">
        <v>188</v>
      </c>
      <c r="E91" s="7" t="s">
        <v>345</v>
      </c>
    </row>
    <row r="92" customFormat="false" ht="15" hidden="false" customHeight="false" outlineLevel="0" collapsed="false">
      <c r="A92" s="12" t="s">
        <v>346</v>
      </c>
      <c r="B92" s="16" t="n">
        <v>0.15</v>
      </c>
      <c r="C92" s="7" t="s">
        <v>188</v>
      </c>
      <c r="E92" s="7" t="s">
        <v>343</v>
      </c>
    </row>
    <row r="94" customFormat="false" ht="15" hidden="false" customHeight="false" outlineLevel="0" collapsed="false">
      <c r="A94" s="8" t="s">
        <v>347</v>
      </c>
      <c r="B94" s="9"/>
      <c r="C94" s="9"/>
      <c r="D94" s="9"/>
      <c r="E94" s="9"/>
    </row>
    <row r="95" customFormat="false" ht="15" hidden="false" customHeight="false" outlineLevel="0" collapsed="false">
      <c r="A95" s="12" t="s">
        <v>348</v>
      </c>
      <c r="B95" s="25" t="n">
        <v>2</v>
      </c>
      <c r="C95" s="7" t="s">
        <v>248</v>
      </c>
      <c r="E95" s="7" t="s">
        <v>349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7" min="2" style="0" width="13"/>
    <col collapsed="false" customWidth="true" hidden="false" outlineLevel="0" max="8" min="8" style="0" width="44"/>
  </cols>
  <sheetData>
    <row r="1" customFormat="false" ht="16.15" hidden="false" customHeight="false" outlineLevel="0" collapsed="false">
      <c r="A1" s="6" t="s">
        <v>350</v>
      </c>
    </row>
    <row r="2" customFormat="false" ht="15" hidden="false" customHeight="false" outlineLevel="0" collapsed="false">
      <c r="A2" s="7" t="s">
        <v>351</v>
      </c>
    </row>
    <row r="4" customFormat="false" ht="15" hidden="false" customHeight="false" outlineLevel="0" collapsed="false">
      <c r="A4" s="11" t="s">
        <v>352</v>
      </c>
      <c r="B4" s="26" t="s">
        <v>353</v>
      </c>
      <c r="C4" s="26" t="s">
        <v>354</v>
      </c>
      <c r="D4" s="26" t="s">
        <v>355</v>
      </c>
      <c r="E4" s="26" t="s">
        <v>356</v>
      </c>
      <c r="F4" s="26" t="s">
        <v>357</v>
      </c>
      <c r="G4" s="26" t="s">
        <v>358</v>
      </c>
      <c r="H4" s="11" t="s">
        <v>359</v>
      </c>
    </row>
    <row r="5" customFormat="false" ht="15" hidden="false" customHeight="false" outlineLevel="0" collapsed="false">
      <c r="A5" s="27" t="s">
        <v>360</v>
      </c>
      <c r="B5" s="28"/>
      <c r="C5" s="28"/>
      <c r="D5" s="28"/>
      <c r="E5" s="28"/>
      <c r="F5" s="28"/>
      <c r="G5" s="28"/>
      <c r="H5" s="29"/>
    </row>
    <row r="6" customFormat="false" ht="15" hidden="false" customHeight="false" outlineLevel="0" collapsed="false">
      <c r="A6" s="12" t="s">
        <v>361</v>
      </c>
      <c r="B6" s="30" t="n">
        <f aca="false">Inputs!$B$42</f>
        <v>15000</v>
      </c>
      <c r="C6" s="31" t="n">
        <f aca="false">Inputs!$B$47*2*Inputs!$B$42/(Inputs!$B$42+Inputs!$B$43)</f>
        <v>15287.2340425532</v>
      </c>
      <c r="D6" s="32" t="n">
        <f aca="false">C6*(1+Inputs!$B$66)+Inputs!$B$65*Inputs!$B$62*Inputs!$B$63-Inputs!$B$64</f>
        <v>16030.1063829787</v>
      </c>
      <c r="E6" s="32" t="n">
        <f aca="false">D6*(1+Inputs!$B$73)</f>
        <v>16430.8590425532</v>
      </c>
      <c r="F6" s="32" t="n">
        <f aca="false">E6*(1+Inputs!$B$73)</f>
        <v>16841.630518617</v>
      </c>
      <c r="G6" s="32" t="n">
        <f aca="false">F6*(1+Inputs!$B$73)</f>
        <v>17262.6712815824</v>
      </c>
      <c r="H6" s="7" t="s">
        <v>362</v>
      </c>
    </row>
    <row r="7" customFormat="false" ht="15" hidden="false" customHeight="false" outlineLevel="0" collapsed="false">
      <c r="A7" s="12" t="s">
        <v>363</v>
      </c>
      <c r="B7" s="30" t="n">
        <f aca="false">Inputs!$B$43</f>
        <v>8500</v>
      </c>
      <c r="C7" s="31" t="n">
        <f aca="false">Inputs!$B$47*2*Inputs!$B$43/(Inputs!$B$42+Inputs!$B$43)</f>
        <v>8662.76595744681</v>
      </c>
      <c r="D7" s="31" t="n">
        <f aca="false">C7*(1+Inputs!$B$73)</f>
        <v>8879.33510638298</v>
      </c>
      <c r="E7" s="32" t="n">
        <f aca="false">D7*(1+Inputs!$B$73)</f>
        <v>9101.31848404255</v>
      </c>
      <c r="F7" s="32" t="n">
        <f aca="false">E7*(1+Inputs!$B$73)</f>
        <v>9328.85144614361</v>
      </c>
      <c r="G7" s="32" t="n">
        <f aca="false">F7*(1+Inputs!$B$73)</f>
        <v>9562.0727322972</v>
      </c>
      <c r="H7" s="7" t="s">
        <v>364</v>
      </c>
    </row>
    <row r="8" customFormat="false" ht="15" hidden="false" customHeight="false" outlineLevel="0" collapsed="false">
      <c r="A8" s="11" t="s">
        <v>365</v>
      </c>
      <c r="B8" s="33" t="n">
        <f aca="false">B6+B7</f>
        <v>23500</v>
      </c>
      <c r="C8" s="33" t="n">
        <f aca="false">C6+C7</f>
        <v>23950</v>
      </c>
      <c r="D8" s="33" t="n">
        <f aca="false">D6+D7</f>
        <v>24909.4414893617</v>
      </c>
      <c r="E8" s="33" t="n">
        <f aca="false">E6+E7</f>
        <v>25532.1775265957</v>
      </c>
      <c r="F8" s="33" t="n">
        <f aca="false">F6+F7</f>
        <v>26170.4819647606</v>
      </c>
      <c r="G8" s="33" t="n">
        <f aca="false">G6+G7</f>
        <v>26824.7440138797</v>
      </c>
    </row>
    <row r="9" customFormat="false" ht="15" hidden="false" customHeight="false" outlineLevel="0" collapsed="false">
      <c r="A9" s="12" t="s">
        <v>366</v>
      </c>
      <c r="B9" s="34"/>
      <c r="C9" s="35" t="n">
        <f aca="false">C8/B8-1</f>
        <v>0.0191489361702129</v>
      </c>
      <c r="D9" s="35" t="n">
        <f aca="false">D8/C8-1</f>
        <v>0.0400601874472526</v>
      </c>
      <c r="E9" s="35" t="n">
        <f aca="false">E8/D8-1</f>
        <v>0.0249999999999999</v>
      </c>
      <c r="F9" s="35" t="n">
        <f aca="false">F8/E8-1</f>
        <v>0.0250000000000001</v>
      </c>
      <c r="G9" s="35" t="n">
        <f aca="false">G8/F8-1</f>
        <v>0.0250000000000001</v>
      </c>
    </row>
    <row r="10" customFormat="false" ht="15" hidden="false" customHeight="false" outlineLevel="0" collapsed="false">
      <c r="A10" s="27" t="s">
        <v>367</v>
      </c>
      <c r="B10" s="28"/>
      <c r="C10" s="28"/>
      <c r="D10" s="28"/>
      <c r="E10" s="28"/>
      <c r="F10" s="28"/>
      <c r="G10" s="28"/>
      <c r="H10" s="29"/>
    </row>
    <row r="11" customFormat="false" ht="15" hidden="false" customHeight="false" outlineLevel="0" collapsed="false">
      <c r="A11" s="12" t="s">
        <v>368</v>
      </c>
      <c r="B11" s="30" t="n">
        <f aca="false">Inputs!$B$44</f>
        <v>2300</v>
      </c>
      <c r="C11" s="30" t="n">
        <f aca="false">Inputs!$B$54</f>
        <v>2425</v>
      </c>
      <c r="D11" s="32" t="n">
        <f aca="false">C11+(Inputs!$B$65*Inputs!$B$62*Inputs!$B$63-Inputs!$B$64)+C6*Inputs!$B$66*Inputs!$B$67+Inputs!$B$68*C6/C8-Inputs!$B$69*C6/C8</f>
        <v>3092.77659574468</v>
      </c>
      <c r="E11" s="32" t="n">
        <f aca="false">E6*Inputs!$B$71</f>
        <v>2793.24603723404</v>
      </c>
      <c r="F11" s="32" t="n">
        <f aca="false">F6*Inputs!$B$71</f>
        <v>2863.07718816489</v>
      </c>
      <c r="G11" s="32" t="n">
        <f aca="false">G6*Inputs!$B$71</f>
        <v>2934.65411786902</v>
      </c>
      <c r="H11" s="7" t="s">
        <v>369</v>
      </c>
    </row>
    <row r="12" customFormat="false" ht="15" hidden="false" customHeight="false" outlineLevel="0" collapsed="false">
      <c r="A12" s="12" t="s">
        <v>370</v>
      </c>
      <c r="B12" s="30" t="n">
        <f aca="false">Inputs!$B$45</f>
        <v>800</v>
      </c>
      <c r="C12" s="30" t="n">
        <f aca="false">Inputs!$B$55</f>
        <v>950</v>
      </c>
      <c r="D12" s="32" t="n">
        <f aca="false">C12+Inputs!$B$70+(Inputs!$B$68-Inputs!$B$69)*C7/C8</f>
        <v>1118.08510638298</v>
      </c>
      <c r="E12" s="32" t="n">
        <f aca="false">E7*Inputs!$B$72</f>
        <v>1001.14503324468</v>
      </c>
      <c r="F12" s="32" t="n">
        <f aca="false">F7*Inputs!$B$72</f>
        <v>1026.1736590758</v>
      </c>
      <c r="G12" s="32" t="n">
        <f aca="false">G7*Inputs!$B$72</f>
        <v>1051.82800055269</v>
      </c>
      <c r="H12" s="7" t="s">
        <v>371</v>
      </c>
    </row>
    <row r="13" customFormat="false" ht="15" hidden="false" customHeight="false" outlineLevel="0" collapsed="false">
      <c r="A13" s="12" t="s">
        <v>48</v>
      </c>
      <c r="B13" s="36" t="n">
        <v>-100</v>
      </c>
      <c r="C13" s="31" t="n">
        <f aca="false">(Inputs!$B$50+Inputs!$B$51)/2-Inputs!$B$54-Inputs!$B$55</f>
        <v>-75</v>
      </c>
      <c r="D13" s="31" t="n">
        <f aca="false">C13</f>
        <v>-75</v>
      </c>
      <c r="E13" s="31" t="n">
        <f aca="false">C13</f>
        <v>-75</v>
      </c>
      <c r="F13" s="31" t="n">
        <f aca="false">C13</f>
        <v>-75</v>
      </c>
      <c r="G13" s="31" t="n">
        <f aca="false">C13</f>
        <v>-75</v>
      </c>
      <c r="H13" s="7" t="s">
        <v>372</v>
      </c>
    </row>
    <row r="14" customFormat="false" ht="15" hidden="false" customHeight="false" outlineLevel="0" collapsed="false">
      <c r="A14" s="11" t="s">
        <v>373</v>
      </c>
      <c r="B14" s="33" t="n">
        <f aca="false">B11+B12+B13</f>
        <v>3000</v>
      </c>
      <c r="C14" s="33" t="n">
        <f aca="false">C11+C12+C13</f>
        <v>3300</v>
      </c>
      <c r="D14" s="33" t="n">
        <f aca="false">D11+D12+D13</f>
        <v>4135.86170212766</v>
      </c>
      <c r="E14" s="33" t="n">
        <f aca="false">E11+E12+E13</f>
        <v>3719.39107047872</v>
      </c>
      <c r="F14" s="33" t="n">
        <f aca="false">F11+F12+F13</f>
        <v>3814.25084724069</v>
      </c>
      <c r="G14" s="33" t="n">
        <f aca="false">G11+G12+G13</f>
        <v>3911.48211842171</v>
      </c>
    </row>
    <row r="15" customFormat="false" ht="15" hidden="false" customHeight="false" outlineLevel="0" collapsed="false">
      <c r="A15" s="12" t="s">
        <v>374</v>
      </c>
      <c r="B15" s="35" t="n">
        <f aca="false">B14/B8</f>
        <v>0.127659574468085</v>
      </c>
      <c r="C15" s="35" t="n">
        <f aca="false">C14/C8</f>
        <v>0.137787056367432</v>
      </c>
      <c r="D15" s="35" t="n">
        <f aca="false">D14/D8</f>
        <v>0.166035906661898</v>
      </c>
      <c r="E15" s="35" t="n">
        <f aca="false">E14/E8</f>
        <v>0.145674651784181</v>
      </c>
      <c r="F15" s="35" t="n">
        <f aca="false">F14/F8</f>
        <v>0.145746297388665</v>
      </c>
      <c r="G15" s="35" t="n">
        <f aca="false">G14/G8</f>
        <v>0.145816195539381</v>
      </c>
    </row>
    <row r="16" customFormat="false" ht="15" hidden="false" customHeight="false" outlineLevel="0" collapsed="false">
      <c r="A16" s="12" t="s">
        <v>375</v>
      </c>
      <c r="B16" s="35" t="n">
        <f aca="false">B11/B6</f>
        <v>0.153333333333333</v>
      </c>
      <c r="C16" s="35" t="n">
        <f aca="false">C11/C6</f>
        <v>0.158629088378566</v>
      </c>
      <c r="D16" s="35" t="n">
        <f aca="false">D11/D6</f>
        <v>0.19293550035505</v>
      </c>
      <c r="E16" s="35" t="n">
        <f aca="false">E11/E6</f>
        <v>0.17</v>
      </c>
      <c r="F16" s="35" t="n">
        <f aca="false">F11/F6</f>
        <v>0.17</v>
      </c>
      <c r="G16" s="35" t="n">
        <f aca="false">G11/G6</f>
        <v>0.17</v>
      </c>
      <c r="H16" s="7" t="s">
        <v>376</v>
      </c>
    </row>
    <row r="17" customFormat="false" ht="15" hidden="false" customHeight="false" outlineLevel="0" collapsed="false">
      <c r="A17" s="12" t="s">
        <v>377</v>
      </c>
      <c r="B17" s="35" t="n">
        <f aca="false">B12/B7</f>
        <v>0.0941176470588235</v>
      </c>
      <c r="C17" s="35" t="n">
        <f aca="false">C12/C7</f>
        <v>0.109664742723812</v>
      </c>
      <c r="D17" s="35" t="n">
        <f aca="false">D12/D7</f>
        <v>0.125919913257833</v>
      </c>
      <c r="E17" s="35" t="n">
        <f aca="false">E12/E7</f>
        <v>0.11</v>
      </c>
      <c r="F17" s="35" t="n">
        <f aca="false">F12/F7</f>
        <v>0.11</v>
      </c>
      <c r="G17" s="35" t="n">
        <f aca="false">G12/G7</f>
        <v>0.11</v>
      </c>
    </row>
    <row r="18" customFormat="false" ht="15" hidden="false" customHeight="false" outlineLevel="0" collapsed="false">
      <c r="A18" s="27" t="s">
        <v>378</v>
      </c>
      <c r="B18" s="28"/>
      <c r="C18" s="28"/>
      <c r="D18" s="28"/>
      <c r="E18" s="28"/>
      <c r="F18" s="28"/>
      <c r="G18" s="28"/>
      <c r="H18" s="29"/>
    </row>
    <row r="19" customFormat="false" ht="15" hidden="false" customHeight="false" outlineLevel="0" collapsed="false">
      <c r="A19" s="12" t="s">
        <v>379</v>
      </c>
      <c r="B19" s="31" t="n">
        <f aca="false">-Inputs!$B$56*0.95</f>
        <v>-1866.75</v>
      </c>
      <c r="C19" s="31" t="n">
        <f aca="false">-Inputs!$B$56</f>
        <v>-1965</v>
      </c>
      <c r="D19" s="31" t="n">
        <f aca="false">-D8*Inputs!$B$76</f>
        <v>-1992.75531914894</v>
      </c>
      <c r="E19" s="31" t="n">
        <f aca="false">-E8*Inputs!$B$76</f>
        <v>-2042.57420212766</v>
      </c>
      <c r="F19" s="31" t="n">
        <f aca="false">-F8*Inputs!$B$76</f>
        <v>-2093.63855718085</v>
      </c>
      <c r="G19" s="31" t="n">
        <f aca="false">-G8*Inputs!$B$76</f>
        <v>-2145.97952111037</v>
      </c>
      <c r="H19" s="7" t="s">
        <v>380</v>
      </c>
    </row>
    <row r="20" customFormat="false" ht="15" hidden="false" customHeight="false" outlineLevel="0" collapsed="false">
      <c r="A20" s="11" t="s">
        <v>381</v>
      </c>
      <c r="B20" s="33" t="n">
        <f aca="false">B14+B19</f>
        <v>1133.25</v>
      </c>
      <c r="C20" s="33" t="n">
        <f aca="false">C14+C19</f>
        <v>1335</v>
      </c>
      <c r="D20" s="33" t="n">
        <f aca="false">D14+D19</f>
        <v>2143.10638297872</v>
      </c>
      <c r="E20" s="33" t="n">
        <f aca="false">E14+E19</f>
        <v>1676.81686835106</v>
      </c>
      <c r="F20" s="33" t="n">
        <f aca="false">F14+F19</f>
        <v>1720.61229005984</v>
      </c>
      <c r="G20" s="33" t="n">
        <f aca="false">G14+G19</f>
        <v>1765.50259731134</v>
      </c>
    </row>
    <row r="21" customFormat="false" ht="15" hidden="false" customHeight="false" outlineLevel="0" collapsed="false">
      <c r="A21" s="12" t="s">
        <v>382</v>
      </c>
      <c r="B21" s="31" t="n">
        <f aca="false">-MAX(0,B20)*Inputs!$B$78</f>
        <v>-271.98</v>
      </c>
      <c r="C21" s="31" t="n">
        <f aca="false">-MAX(0,C20)*Inputs!$B$78</f>
        <v>-320.4</v>
      </c>
      <c r="D21" s="31" t="n">
        <f aca="false">-MAX(0,D20)*Inputs!$B$78</f>
        <v>-514.345531914894</v>
      </c>
      <c r="E21" s="31" t="n">
        <f aca="false">-MAX(0,E20)*Inputs!$B$78</f>
        <v>-402.436048404255</v>
      </c>
      <c r="F21" s="31" t="n">
        <f aca="false">-MAX(0,F20)*Inputs!$B$78</f>
        <v>-412.946949614362</v>
      </c>
      <c r="G21" s="31" t="n">
        <f aca="false">-MAX(0,G20)*Inputs!$B$78</f>
        <v>-423.720623354721</v>
      </c>
      <c r="H21" s="7" t="s">
        <v>383</v>
      </c>
    </row>
    <row r="22" customFormat="false" ht="15" hidden="false" customHeight="false" outlineLevel="0" collapsed="false">
      <c r="A22" s="12" t="s">
        <v>61</v>
      </c>
      <c r="B22" s="31" t="n">
        <f aca="false">B20+B21</f>
        <v>861.27</v>
      </c>
      <c r="C22" s="31" t="n">
        <f aca="false">C20+C21</f>
        <v>1014.6</v>
      </c>
      <c r="D22" s="31" t="n">
        <f aca="false">D20+D21</f>
        <v>1628.76085106383</v>
      </c>
      <c r="E22" s="31" t="n">
        <f aca="false">E20+E21</f>
        <v>1274.38081994681</v>
      </c>
      <c r="F22" s="31" t="n">
        <f aca="false">F20+F21</f>
        <v>1307.66534044548</v>
      </c>
      <c r="G22" s="31" t="n">
        <f aca="false">G20+G21</f>
        <v>1341.78197395662</v>
      </c>
    </row>
    <row r="23" customFormat="false" ht="15" hidden="false" customHeight="false" outlineLevel="0" collapsed="false">
      <c r="A23" s="12" t="s">
        <v>384</v>
      </c>
      <c r="B23" s="31" t="n">
        <f aca="false">-B19</f>
        <v>1866.75</v>
      </c>
      <c r="C23" s="31" t="n">
        <f aca="false">-C19</f>
        <v>1965</v>
      </c>
      <c r="D23" s="31" t="n">
        <f aca="false">-D19</f>
        <v>1992.75531914894</v>
      </c>
      <c r="E23" s="31" t="n">
        <f aca="false">-E19</f>
        <v>2042.57420212766</v>
      </c>
      <c r="F23" s="31" t="n">
        <f aca="false">-F19</f>
        <v>2093.63855718085</v>
      </c>
      <c r="G23" s="31" t="n">
        <f aca="false">-G19</f>
        <v>2145.97952111037</v>
      </c>
    </row>
    <row r="24" customFormat="false" ht="15" hidden="false" customHeight="false" outlineLevel="0" collapsed="false">
      <c r="A24" s="12" t="s">
        <v>385</v>
      </c>
      <c r="B24" s="31" t="n">
        <v>-2000</v>
      </c>
      <c r="C24" s="31" t="n">
        <f aca="false">-Inputs!$B$49*2</f>
        <v>-2100</v>
      </c>
      <c r="D24" s="31" t="n">
        <f aca="false">-Inputs!$B$74</f>
        <v>-1900</v>
      </c>
      <c r="E24" s="31" t="n">
        <f aca="false">-E8*Inputs!$B$75</f>
        <v>-1659.59153922872</v>
      </c>
      <c r="F24" s="31" t="n">
        <f aca="false">-F8*Inputs!$B$75</f>
        <v>-1701.08132770944</v>
      </c>
      <c r="G24" s="31" t="n">
        <f aca="false">-G8*Inputs!$B$75</f>
        <v>-1743.60836090218</v>
      </c>
      <c r="H24" s="7" t="s">
        <v>386</v>
      </c>
    </row>
    <row r="25" customFormat="false" ht="15" hidden="false" customHeight="false" outlineLevel="0" collapsed="false">
      <c r="A25" s="12" t="s">
        <v>387</v>
      </c>
      <c r="B25" s="34"/>
      <c r="C25" s="31" t="n">
        <f aca="false">-(C8-B8)*Inputs!$B$77</f>
        <v>-45</v>
      </c>
      <c r="D25" s="31" t="n">
        <f aca="false">-(D8-C8)*Inputs!$B$77</f>
        <v>-95.94414893617</v>
      </c>
      <c r="E25" s="31" t="n">
        <f aca="false">-(E8-D8)*Inputs!$B$77</f>
        <v>-62.2736037234041</v>
      </c>
      <c r="F25" s="31" t="n">
        <f aca="false">-(F8-E8)*Inputs!$B$77</f>
        <v>-63.8304438164894</v>
      </c>
      <c r="G25" s="31" t="n">
        <f aca="false">-(G8-F8)*Inputs!$B$77</f>
        <v>-65.4262049119017</v>
      </c>
    </row>
    <row r="26" customFormat="false" ht="15" hidden="false" customHeight="false" outlineLevel="0" collapsed="false">
      <c r="A26" s="12" t="s">
        <v>388</v>
      </c>
      <c r="B26" s="34"/>
      <c r="C26" s="31" t="n">
        <f aca="false">-Inputs!$B$59</f>
        <v>-250</v>
      </c>
      <c r="D26" s="31" t="n">
        <f aca="false">-Inputs!$B$59*0.5</f>
        <v>-125</v>
      </c>
      <c r="E26" s="31" t="n">
        <v>0</v>
      </c>
      <c r="F26" s="31" t="n">
        <v>0</v>
      </c>
      <c r="G26" s="31" t="n">
        <v>0</v>
      </c>
      <c r="H26" s="7" t="s">
        <v>389</v>
      </c>
    </row>
    <row r="27" customFormat="false" ht="15" hidden="false" customHeight="false" outlineLevel="0" collapsed="false">
      <c r="A27" s="11" t="s">
        <v>390</v>
      </c>
      <c r="B27" s="33" t="n">
        <f aca="false">B22+B23+B24+IF(ISNUMBER(B25),B25,0)+IF(ISNUMBER(B26),B26,0)</f>
        <v>728.02</v>
      </c>
      <c r="C27" s="33" t="n">
        <f aca="false">C22+C23+C24+IF(ISNUMBER(C25),C25,0)+IF(ISNUMBER(C26),C26,0)</f>
        <v>584.6</v>
      </c>
      <c r="D27" s="33" t="n">
        <f aca="false">D22+D23+D24+IF(ISNUMBER(D25),D25,0)+IF(ISNUMBER(D26),D26,0)</f>
        <v>1500.5720212766</v>
      </c>
      <c r="E27" s="33" t="n">
        <f aca="false">E22+E23+E24+IF(ISNUMBER(E25),E25,0)+IF(ISNUMBER(E26),E26,0)</f>
        <v>1595.08987912234</v>
      </c>
      <c r="F27" s="33" t="n">
        <f aca="false">F22+F23+F24+IF(ISNUMBER(F25),F25,0)+IF(ISNUMBER(F26),F26,0)</f>
        <v>1636.3921261004</v>
      </c>
      <c r="G27" s="33" t="n">
        <f aca="false">G22+G23+G24+IF(ISNUMBER(G25),G25,0)+IF(ISNUMBER(G26),G26,0)</f>
        <v>1678.72692925291</v>
      </c>
    </row>
    <row r="28" customFormat="false" ht="15" hidden="false" customHeight="false" outlineLevel="0" collapsed="false">
      <c r="A28" s="12" t="s">
        <v>391</v>
      </c>
      <c r="B28" s="35" t="n">
        <f aca="false">B27/B8</f>
        <v>0.0309795744680851</v>
      </c>
      <c r="C28" s="35" t="n">
        <f aca="false">C27/C8</f>
        <v>0.0244091858037578</v>
      </c>
      <c r="D28" s="35" t="n">
        <f aca="false">D27/D8</f>
        <v>0.0602410946033238</v>
      </c>
      <c r="E28" s="35" t="n">
        <f aca="false">E27/E8</f>
        <v>0.0624737109657336</v>
      </c>
      <c r="F28" s="35" t="n">
        <f aca="false">F27/F8</f>
        <v>0.0625281616251413</v>
      </c>
      <c r="G28" s="35" t="n">
        <f aca="false">G27/G8</f>
        <v>0.0625812842196855</v>
      </c>
    </row>
    <row r="29" customFormat="false" ht="15" hidden="false" customHeight="false" outlineLevel="0" collapsed="false">
      <c r="A29" s="27" t="s">
        <v>392</v>
      </c>
      <c r="B29" s="28"/>
      <c r="C29" s="28"/>
      <c r="D29" s="28"/>
      <c r="E29" s="28"/>
      <c r="F29" s="28"/>
      <c r="G29" s="28"/>
      <c r="H29" s="29"/>
    </row>
    <row r="30" customFormat="false" ht="15" hidden="false" customHeight="false" outlineLevel="0" collapsed="false">
      <c r="A30" s="12" t="s">
        <v>393</v>
      </c>
      <c r="B30" s="34"/>
      <c r="C30" s="31" t="n">
        <f aca="false">C27-Inputs!$B$57*(1-Inputs!$B$78)</f>
        <v>303.4</v>
      </c>
      <c r="D30" s="31" t="n">
        <f aca="false">D27-Inputs!$B$57*(1-Inputs!$B$78)</f>
        <v>1219.3720212766</v>
      </c>
      <c r="E30" s="34"/>
      <c r="F30" s="34"/>
      <c r="G30" s="34"/>
      <c r="H30" s="7" t="s">
        <v>394</v>
      </c>
    </row>
    <row r="31" customFormat="false" ht="15" hidden="false" customHeight="false" outlineLevel="0" collapsed="false">
      <c r="A31" s="12" t="s">
        <v>395</v>
      </c>
      <c r="B31" s="31" t="n">
        <f aca="false">-Inputs!$B$9*Inputs!$B$8</f>
        <v>-979.575</v>
      </c>
      <c r="C31" s="31" t="n">
        <f aca="false">-Inputs!$B$9*Inputs!$B$8</f>
        <v>-979.575</v>
      </c>
      <c r="D31" s="31" t="n">
        <f aca="false">-Inputs!$B$9*Inputs!$B$8</f>
        <v>-979.575</v>
      </c>
      <c r="E31" s="31" t="n">
        <f aca="false">-Inputs!$B$9*Inputs!$B$8</f>
        <v>-979.575</v>
      </c>
      <c r="F31" s="31" t="n">
        <f aca="false">-Inputs!$B$9*Inputs!$B$8</f>
        <v>-979.575</v>
      </c>
      <c r="G31" s="31" t="n">
        <f aca="false">-Inputs!$B$9*Inputs!$B$8</f>
        <v>-979.575</v>
      </c>
      <c r="H31" s="7" t="s">
        <v>396</v>
      </c>
    </row>
    <row r="32" customFormat="false" ht="15" hidden="false" customHeight="false" outlineLevel="0" collapsed="false">
      <c r="A32" s="12" t="s">
        <v>397</v>
      </c>
      <c r="B32" s="30" t="n">
        <f aca="false">Inputs!$B$46</f>
        <v>-159</v>
      </c>
      <c r="C32" s="34"/>
      <c r="D32" s="34"/>
      <c r="E32" s="34"/>
      <c r="F32" s="34"/>
      <c r="G32" s="34"/>
      <c r="H32" s="7" t="s">
        <v>398</v>
      </c>
    </row>
    <row r="33" customFormat="false" ht="15" hidden="false" customHeight="false" outlineLevel="0" collapsed="false">
      <c r="A33" s="12" t="s">
        <v>399</v>
      </c>
      <c r="B33" s="34"/>
      <c r="C33" s="37" t="n">
        <f aca="false">-C30/C31</f>
        <v>0.309726156751652</v>
      </c>
      <c r="D33" s="37" t="n">
        <f aca="false">-D30/D31</f>
        <v>1.24479700000163</v>
      </c>
      <c r="E33" s="34"/>
      <c r="F33" s="34"/>
      <c r="G33" s="3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6" min="2" style="0" width="13"/>
    <col collapsed="false" customWidth="true" hidden="false" outlineLevel="0" max="7" min="7" style="0" width="60"/>
  </cols>
  <sheetData>
    <row r="1" customFormat="false" ht="16.15" hidden="false" customHeight="false" outlineLevel="0" collapsed="false">
      <c r="A1" s="6" t="s">
        <v>400</v>
      </c>
    </row>
    <row r="2" customFormat="false" ht="15" hidden="false" customHeight="false" outlineLevel="0" collapsed="false">
      <c r="A2" s="7" t="s">
        <v>401</v>
      </c>
    </row>
    <row r="4" customFormat="false" ht="15" hidden="false" customHeight="false" outlineLevel="0" collapsed="false">
      <c r="A4" s="8" t="s">
        <v>402</v>
      </c>
      <c r="B4" s="9"/>
      <c r="C4" s="9"/>
      <c r="D4" s="9"/>
      <c r="E4" s="9"/>
      <c r="F4" s="9"/>
      <c r="G4" s="9"/>
    </row>
    <row r="5" customFormat="false" ht="15" hidden="false" customHeight="false" outlineLevel="0" collapsed="false">
      <c r="A5" s="12" t="s">
        <v>403</v>
      </c>
      <c r="B5" s="38" t="n">
        <f aca="false">Inputs!$B$7*Inputs!$B$8</f>
        <v>16944</v>
      </c>
    </row>
    <row r="6" customFormat="false" ht="15" hidden="false" customHeight="false" outlineLevel="0" collapsed="false">
      <c r="A6" s="12" t="s">
        <v>404</v>
      </c>
      <c r="B6" s="38" t="n">
        <f aca="false">Inputs!$B$15-Inputs!$B$16</f>
        <v>8491</v>
      </c>
    </row>
    <row r="7" customFormat="false" ht="15" hidden="false" customHeight="false" outlineLevel="0" collapsed="false">
      <c r="A7" s="12" t="s">
        <v>405</v>
      </c>
      <c r="B7" s="38" t="n">
        <f aca="false">Inputs!$B$39</f>
        <v>957.48</v>
      </c>
      <c r="G7" s="7" t="s">
        <v>406</v>
      </c>
    </row>
    <row r="8" customFormat="false" ht="15" hidden="false" customHeight="false" outlineLevel="0" collapsed="false">
      <c r="A8" s="12" t="s">
        <v>407</v>
      </c>
      <c r="B8" s="39" t="n">
        <f aca="false">B5/(B5+B6)</f>
        <v>0.666168665225084</v>
      </c>
    </row>
    <row r="9" customFormat="false" ht="15" hidden="false" customHeight="false" outlineLevel="0" collapsed="false">
      <c r="A9" s="12" t="s">
        <v>408</v>
      </c>
      <c r="B9" s="39" t="n">
        <f aca="false">1-B8</f>
        <v>0.333831334774916</v>
      </c>
    </row>
    <row r="10" customFormat="false" ht="15" hidden="false" customHeight="false" outlineLevel="0" collapsed="false">
      <c r="A10" s="12" t="s">
        <v>409</v>
      </c>
      <c r="B10" s="40" t="n">
        <f aca="false">Inputs!$B$81+Inputs!$B$82*Inputs!$B$83</f>
        <v>0.0895</v>
      </c>
    </row>
    <row r="11" customFormat="false" ht="15" hidden="false" customHeight="false" outlineLevel="0" collapsed="false">
      <c r="A11" s="12" t="s">
        <v>410</v>
      </c>
      <c r="B11" s="40" t="n">
        <f aca="false">Inputs!$B$84*(1-Inputs!$B$78)</f>
        <v>0.0418</v>
      </c>
    </row>
    <row r="12" customFormat="false" ht="15" hidden="false" customHeight="false" outlineLevel="0" collapsed="false">
      <c r="A12" s="11" t="s">
        <v>402</v>
      </c>
      <c r="B12" s="41" t="n">
        <f aca="false">B8*B10+B9*B11</f>
        <v>0.0735762453312365</v>
      </c>
      <c r="G12" s="7" t="s">
        <v>411</v>
      </c>
    </row>
    <row r="14" customFormat="false" ht="15" hidden="false" customHeight="false" outlineLevel="0" collapsed="false">
      <c r="A14" s="8" t="s">
        <v>412</v>
      </c>
      <c r="B14" s="9"/>
      <c r="C14" s="9"/>
      <c r="D14" s="9"/>
      <c r="E14" s="9"/>
      <c r="F14" s="9"/>
      <c r="G14" s="9"/>
    </row>
    <row r="15" customFormat="false" ht="15" hidden="false" customHeight="false" outlineLevel="0" collapsed="false">
      <c r="A15" s="11" t="s">
        <v>352</v>
      </c>
      <c r="B15" s="26" t="s">
        <v>355</v>
      </c>
      <c r="C15" s="26" t="s">
        <v>356</v>
      </c>
      <c r="D15" s="26" t="s">
        <v>357</v>
      </c>
      <c r="E15" s="26" t="s">
        <v>358</v>
      </c>
    </row>
    <row r="16" customFormat="false" ht="15" hidden="false" customHeight="false" outlineLevel="0" collapsed="false">
      <c r="A16" s="12" t="s">
        <v>390</v>
      </c>
      <c r="B16" s="38" t="n">
        <f aca="false">Model!D27</f>
        <v>1500.5720212766</v>
      </c>
      <c r="C16" s="38" t="n">
        <f aca="false">Model!E27</f>
        <v>1595.08987912234</v>
      </c>
      <c r="D16" s="38" t="n">
        <f aca="false">Model!F27</f>
        <v>1636.3921261004</v>
      </c>
      <c r="E16" s="38" t="n">
        <f aca="false">Model!G27</f>
        <v>1678.72692925291</v>
      </c>
    </row>
    <row r="17" customFormat="false" ht="15" hidden="false" customHeight="false" outlineLevel="0" collapsed="false">
      <c r="A17" s="12" t="s">
        <v>413</v>
      </c>
      <c r="B17" s="42" t="n">
        <v>0.7</v>
      </c>
      <c r="C17" s="42" t="n">
        <v>1.7</v>
      </c>
      <c r="D17" s="42" t="n">
        <v>2.7</v>
      </c>
      <c r="E17" s="42" t="n">
        <v>3.7</v>
      </c>
      <c r="G17" s="7" t="s">
        <v>414</v>
      </c>
    </row>
    <row r="18" customFormat="false" ht="15" hidden="false" customHeight="false" outlineLevel="0" collapsed="false">
      <c r="A18" s="12" t="s">
        <v>415</v>
      </c>
      <c r="B18" s="43" t="n">
        <f aca="false">1/(1+B12)^B17</f>
        <v>0.951517926124226</v>
      </c>
      <c r="C18" s="43" t="n">
        <f aca="false">1/(1+B12)^C17</f>
        <v>0.886306799598242</v>
      </c>
      <c r="D18" s="43" t="n">
        <f aca="false">1/(1+B12)^D17</f>
        <v>0.825564838503655</v>
      </c>
      <c r="E18" s="43" t="n">
        <f aca="false">1/(1+B12)^E17</f>
        <v>0.768985754010362</v>
      </c>
    </row>
    <row r="19" customFormat="false" ht="15" hidden="false" customHeight="false" outlineLevel="0" collapsed="false">
      <c r="A19" s="12" t="s">
        <v>416</v>
      </c>
      <c r="B19" s="44" t="n">
        <f aca="false">B16*B18</f>
        <v>1427.82117768514</v>
      </c>
      <c r="C19" s="44" t="n">
        <f aca="false">C16*C18</f>
        <v>1413.73900583647</v>
      </c>
      <c r="D19" s="44" t="n">
        <f aca="false">D16*D18</f>
        <v>1350.94780131273</v>
      </c>
      <c r="E19" s="44" t="n">
        <f aca="false">E16*E18</f>
        <v>1290.91709346905</v>
      </c>
    </row>
    <row r="21" customFormat="false" ht="15" hidden="false" customHeight="false" outlineLevel="0" collapsed="false">
      <c r="A21" s="8" t="s">
        <v>417</v>
      </c>
      <c r="B21" s="9"/>
      <c r="C21" s="9"/>
      <c r="D21" s="9"/>
      <c r="E21" s="9"/>
      <c r="F21" s="9"/>
      <c r="G21" s="9"/>
    </row>
    <row r="22" customFormat="false" ht="15" hidden="false" customHeight="false" outlineLevel="0" collapsed="false">
      <c r="A22" s="12" t="s">
        <v>418</v>
      </c>
      <c r="B22" s="19" t="n">
        <f aca="false">E16*(1+Inputs!$B$85)/(B12-Inputs!$B$85)</f>
        <v>31960.0871104651</v>
      </c>
      <c r="G22" s="7" t="s">
        <v>419</v>
      </c>
    </row>
    <row r="23" customFormat="false" ht="15" hidden="false" customHeight="false" outlineLevel="0" collapsed="false">
      <c r="A23" s="12" t="s">
        <v>420</v>
      </c>
      <c r="B23" s="19" t="n">
        <f aca="false">Model!G14*Inputs!$B$86</f>
        <v>31291.8569473737</v>
      </c>
    </row>
    <row r="24" customFormat="false" ht="15" hidden="false" customHeight="false" outlineLevel="0" collapsed="false">
      <c r="A24" s="12" t="s">
        <v>421</v>
      </c>
      <c r="B24" s="45" t="n">
        <f aca="false">B22/Model!G14</f>
        <v>8.17083809739135</v>
      </c>
      <c r="G24" s="7" t="s">
        <v>422</v>
      </c>
    </row>
    <row r="25" customFormat="false" ht="15" hidden="false" customHeight="false" outlineLevel="0" collapsed="false">
      <c r="A25" s="12" t="s">
        <v>423</v>
      </c>
      <c r="B25" s="39" t="n">
        <f aca="false">(B23*B12-E16)/(B23+E16)</f>
        <v>0.0189141453093617</v>
      </c>
    </row>
    <row r="26" customFormat="false" ht="15" hidden="false" customHeight="false" outlineLevel="0" collapsed="false">
      <c r="A26" s="11" t="s">
        <v>424</v>
      </c>
      <c r="B26" s="46" t="n">
        <f aca="false">AVERAGE(B22,B23)</f>
        <v>31625.9720289194</v>
      </c>
    </row>
    <row r="27" customFormat="false" ht="15" hidden="false" customHeight="false" outlineLevel="0" collapsed="false">
      <c r="A27" s="12" t="s">
        <v>425</v>
      </c>
      <c r="B27" s="19" t="n">
        <f aca="false">B26*E18</f>
        <v>24319.9219469692</v>
      </c>
    </row>
    <row r="29" customFormat="false" ht="15" hidden="false" customHeight="false" outlineLevel="0" collapsed="false">
      <c r="A29" s="8" t="s">
        <v>426</v>
      </c>
      <c r="B29" s="9"/>
      <c r="C29" s="9"/>
      <c r="D29" s="9"/>
      <c r="E29" s="9"/>
      <c r="F29" s="9"/>
      <c r="G29" s="9"/>
    </row>
    <row r="30" customFormat="false" ht="15" hidden="false" customHeight="false" outlineLevel="0" collapsed="false">
      <c r="A30" s="12" t="s">
        <v>427</v>
      </c>
      <c r="B30" s="19" t="n">
        <f aca="false">SUM(B19:E19)</f>
        <v>5483.42507830339</v>
      </c>
    </row>
    <row r="31" customFormat="false" ht="15" hidden="false" customHeight="false" outlineLevel="0" collapsed="false">
      <c r="A31" s="11" t="s">
        <v>428</v>
      </c>
      <c r="B31" s="46" t="n">
        <f aca="false">B30+B27</f>
        <v>29803.3470252726</v>
      </c>
    </row>
    <row r="32" customFormat="false" ht="15" hidden="false" customHeight="false" outlineLevel="0" collapsed="false">
      <c r="A32" s="12" t="s">
        <v>429</v>
      </c>
      <c r="B32" s="39" t="n">
        <f aca="false">B27/B31</f>
        <v>0.816013111760449</v>
      </c>
      <c r="G32" s="7" t="s">
        <v>430</v>
      </c>
    </row>
    <row r="33" customFormat="false" ht="15" hidden="false" customHeight="false" outlineLevel="0" collapsed="false">
      <c r="A33" s="11" t="s">
        <v>431</v>
      </c>
      <c r="B33" s="46" t="n">
        <f aca="false">B31-B6-B7</f>
        <v>20354.8670252726</v>
      </c>
    </row>
    <row r="34" customFormat="false" ht="15" hidden="false" customHeight="false" outlineLevel="0" collapsed="false">
      <c r="A34" s="11" t="s">
        <v>432</v>
      </c>
      <c r="B34" s="47" t="n">
        <f aca="false">B33/Inputs!$B$8</f>
        <v>38.4416752129794</v>
      </c>
    </row>
    <row r="35" customFormat="false" ht="15" hidden="false" customHeight="false" outlineLevel="0" collapsed="false">
      <c r="A35" s="12" t="s">
        <v>433</v>
      </c>
      <c r="B35" s="39" t="n">
        <f aca="false">B34/Inputs!$B$7-1</f>
        <v>0.201302350405606</v>
      </c>
    </row>
    <row r="36" customFormat="false" ht="15" hidden="false" customHeight="false" outlineLevel="0" collapsed="false">
      <c r="A36" s="12" t="s">
        <v>434</v>
      </c>
      <c r="B36" s="45" t="n">
        <f aca="false">B31/Model!D14</f>
        <v>7.20607920954913</v>
      </c>
    </row>
    <row r="37" customFormat="false" ht="15" hidden="false" customHeight="false" outlineLevel="0" collapsed="false">
      <c r="A37" s="12" t="s">
        <v>435</v>
      </c>
      <c r="B37" s="45" t="n">
        <f aca="false">(B5+B6)/Model!D14</f>
        <v>6.14986714544038</v>
      </c>
    </row>
    <row r="38" customFormat="false" ht="15" hidden="false" customHeight="false" outlineLevel="0" collapsed="false">
      <c r="A38" s="12" t="s">
        <v>436</v>
      </c>
      <c r="B38" s="45" t="n">
        <f aca="false">(B5+B6)/Model!C14</f>
        <v>7.70757575757576</v>
      </c>
      <c r="G38" s="7" t="s">
        <v>437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4"/>
    <col collapsed="false" customWidth="true" hidden="false" outlineLevel="0" max="5" min="5" style="0" width="60"/>
  </cols>
  <sheetData>
    <row r="1" customFormat="false" ht="16.15" hidden="false" customHeight="false" outlineLevel="0" collapsed="false">
      <c r="A1" s="6" t="s">
        <v>438</v>
      </c>
    </row>
    <row r="2" customFormat="false" ht="15" hidden="false" customHeight="false" outlineLevel="0" collapsed="false">
      <c r="A2" s="7" t="s">
        <v>439</v>
      </c>
    </row>
    <row r="4" customFormat="false" ht="15" hidden="false" customHeight="false" outlineLevel="0" collapsed="false">
      <c r="A4" s="11" t="s">
        <v>440</v>
      </c>
      <c r="B4" s="26" t="s">
        <v>441</v>
      </c>
      <c r="C4" s="26" t="s">
        <v>442</v>
      </c>
      <c r="D4" s="26" t="s">
        <v>443</v>
      </c>
      <c r="E4" s="11" t="s">
        <v>444</v>
      </c>
    </row>
    <row r="5" customFormat="false" ht="15" hidden="false" customHeight="false" outlineLevel="0" collapsed="false">
      <c r="A5" s="12" t="s">
        <v>445</v>
      </c>
      <c r="B5" s="21" t="n">
        <v>0.25</v>
      </c>
      <c r="C5" s="21" t="n">
        <v>0.5</v>
      </c>
      <c r="D5" s="21" t="n">
        <v>0.8</v>
      </c>
      <c r="E5" s="7" t="s">
        <v>446</v>
      </c>
    </row>
    <row r="6" customFormat="false" ht="15" hidden="false" customHeight="false" outlineLevel="0" collapsed="false">
      <c r="A6" s="12" t="s">
        <v>447</v>
      </c>
      <c r="B6" s="21" t="n">
        <v>-0.02</v>
      </c>
      <c r="C6" s="21" t="n">
        <v>0.01</v>
      </c>
      <c r="D6" s="21" t="n">
        <v>0.03</v>
      </c>
      <c r="E6" s="7" t="s">
        <v>448</v>
      </c>
    </row>
    <row r="7" customFormat="false" ht="15" hidden="false" customHeight="false" outlineLevel="0" collapsed="false">
      <c r="A7" s="12" t="s">
        <v>449</v>
      </c>
      <c r="B7" s="20" t="n">
        <v>200</v>
      </c>
      <c r="C7" s="20" t="n">
        <v>300</v>
      </c>
      <c r="D7" s="20" t="n">
        <v>450</v>
      </c>
      <c r="E7" s="7" t="s">
        <v>450</v>
      </c>
    </row>
    <row r="8" customFormat="false" ht="15" hidden="false" customHeight="false" outlineLevel="0" collapsed="false">
      <c r="A8" s="12" t="s">
        <v>451</v>
      </c>
      <c r="B8" s="20" t="n">
        <v>350</v>
      </c>
      <c r="C8" s="20" t="n">
        <v>250</v>
      </c>
      <c r="D8" s="20" t="n">
        <v>200</v>
      </c>
      <c r="E8" s="7" t="s">
        <v>452</v>
      </c>
    </row>
    <row r="9" customFormat="false" ht="15" hidden="false" customHeight="false" outlineLevel="0" collapsed="false">
      <c r="A9" s="12" t="s">
        <v>453</v>
      </c>
      <c r="B9" s="20" t="n">
        <v>0</v>
      </c>
      <c r="C9" s="20" t="n">
        <v>150</v>
      </c>
      <c r="D9" s="20" t="n">
        <v>300</v>
      </c>
      <c r="E9" s="7" t="s">
        <v>454</v>
      </c>
    </row>
    <row r="10" customFormat="false" ht="15" hidden="false" customHeight="false" outlineLevel="0" collapsed="false">
      <c r="A10" s="12" t="s">
        <v>455</v>
      </c>
      <c r="B10" s="21" t="n">
        <v>0.13</v>
      </c>
      <c r="C10" s="21" t="n">
        <v>0.17</v>
      </c>
      <c r="D10" s="21" t="n">
        <v>0.2</v>
      </c>
      <c r="E10" s="7" t="s">
        <v>456</v>
      </c>
    </row>
    <row r="11" customFormat="false" ht="15" hidden="false" customHeight="false" outlineLevel="0" collapsed="false">
      <c r="A11" s="12" t="s">
        <v>457</v>
      </c>
      <c r="B11" s="21" t="n">
        <v>0.09</v>
      </c>
      <c r="C11" s="21" t="n">
        <v>0.11</v>
      </c>
      <c r="D11" s="21" t="n">
        <v>0.13</v>
      </c>
      <c r="E11" s="7" t="s">
        <v>458</v>
      </c>
    </row>
    <row r="12" customFormat="false" ht="15" hidden="false" customHeight="false" outlineLevel="0" collapsed="false">
      <c r="A12" s="12" t="s">
        <v>459</v>
      </c>
      <c r="B12" s="21" t="n">
        <v>0.075</v>
      </c>
      <c r="C12" s="21" t="n">
        <v>0.065</v>
      </c>
      <c r="D12" s="21" t="n">
        <v>0.06</v>
      </c>
      <c r="E12" s="7" t="s">
        <v>460</v>
      </c>
    </row>
    <row r="13" customFormat="false" ht="15" hidden="false" customHeight="false" outlineLevel="0" collapsed="false">
      <c r="A13" s="12" t="s">
        <v>402</v>
      </c>
      <c r="B13" s="21" t="n">
        <f aca="false">DCF!B12+0.005</f>
        <v>0.0785762453312365</v>
      </c>
      <c r="C13" s="21" t="n">
        <f aca="false">DCF!B12</f>
        <v>0.0735762453312365</v>
      </c>
      <c r="D13" s="21" t="n">
        <f aca="false">DCF!B12-0.005</f>
        <v>0.0685762453312365</v>
      </c>
      <c r="E13" s="7" t="s">
        <v>461</v>
      </c>
    </row>
    <row r="14" customFormat="false" ht="15" hidden="false" customHeight="false" outlineLevel="0" collapsed="false">
      <c r="A14" s="12" t="s">
        <v>462</v>
      </c>
      <c r="B14" s="23" t="n">
        <v>7</v>
      </c>
      <c r="C14" s="23" t="n">
        <v>8</v>
      </c>
      <c r="D14" s="23" t="n">
        <v>9.5</v>
      </c>
      <c r="E14" s="7" t="s">
        <v>463</v>
      </c>
    </row>
    <row r="16" customFormat="false" ht="15" hidden="false" customHeight="false" outlineLevel="0" collapsed="false">
      <c r="A16" s="27" t="s">
        <v>464</v>
      </c>
      <c r="B16" s="29"/>
      <c r="C16" s="29"/>
      <c r="D16" s="29"/>
      <c r="E16" s="29"/>
    </row>
    <row r="17" customFormat="false" ht="15" hidden="false" customHeight="false" outlineLevel="0" collapsed="false">
      <c r="A17" s="12" t="s">
        <v>465</v>
      </c>
      <c r="B17" s="19" t="n">
        <f aca="false">Model!C6*(1+B6)+B5*Inputs!$B$62*Inputs!$B$63-Inputs!$B$64</f>
        <v>15188.9893617021</v>
      </c>
      <c r="C17" s="19" t="n">
        <f aca="false">Model!C6*(1+C6)+C5*Inputs!$B$62*Inputs!$B$63-Inputs!$B$64</f>
        <v>16030.1063829787</v>
      </c>
      <c r="D17" s="19" t="n">
        <f aca="false">Model!C6*(1+D6)+D5*Inputs!$B$62*Inputs!$B$63-Inputs!$B$64</f>
        <v>16794.8510638298</v>
      </c>
    </row>
    <row r="18" customFormat="false" ht="15" hidden="false" customHeight="false" outlineLevel="0" collapsed="false">
      <c r="A18" s="12" t="s">
        <v>466</v>
      </c>
      <c r="B18" s="19" t="n">
        <f aca="false">Model!C7*(1+Inputs!$B$73)</f>
        <v>8879.33510638298</v>
      </c>
      <c r="C18" s="19" t="n">
        <f aca="false">Model!C7*(1+Inputs!$B$73)</f>
        <v>8879.33510638298</v>
      </c>
      <c r="D18" s="19" t="n">
        <f aca="false">Model!C7*(1+Inputs!$B$73)</f>
        <v>8879.33510638298</v>
      </c>
    </row>
    <row r="19" customFormat="false" ht="15" hidden="false" customHeight="false" outlineLevel="0" collapsed="false">
      <c r="A19" s="12" t="s">
        <v>467</v>
      </c>
      <c r="B19" s="19" t="n">
        <f aca="false">Model!C11+(B5*Inputs!$B$62*Inputs!$B$63-Inputs!$B$64)+Model!C6*B6*Inputs!$B$67+(B7-B8)*Model!C6/Model!C8</f>
        <v>2445.03191489362</v>
      </c>
      <c r="C19" s="19" t="n">
        <f aca="false">Model!C11+(C5*Inputs!$B$62*Inputs!$B$63-Inputs!$B$64)+Model!C6*C6*Inputs!$B$67+(C7-C8)*Model!C6/Model!C8</f>
        <v>3092.77659574468</v>
      </c>
      <c r="D19" s="19" t="n">
        <f aca="false">Model!C11+(D5*Inputs!$B$62*Inputs!$B$63-Inputs!$B$64)+Model!C6*D6*Inputs!$B$67+(D7-D8)*Model!C6/Model!C8</f>
        <v>3771.15957446809</v>
      </c>
    </row>
    <row r="20" customFormat="false" ht="15" hidden="false" customHeight="false" outlineLevel="0" collapsed="false">
      <c r="A20" s="12" t="s">
        <v>468</v>
      </c>
      <c r="B20" s="19" t="n">
        <f aca="false">Model!C12+B9+(B7-B8)*Model!C7/Model!C8</f>
        <v>895.744680851064</v>
      </c>
      <c r="C20" s="19" t="n">
        <f aca="false">Model!C12+C9+(C7-C8)*Model!C7/Model!C8</f>
        <v>1118.08510638298</v>
      </c>
      <c r="D20" s="19" t="n">
        <f aca="false">Model!C12+D9+(D7-D8)*Model!C7/Model!C8</f>
        <v>1340.42553191489</v>
      </c>
    </row>
    <row r="21" customFormat="false" ht="15" hidden="false" customHeight="false" outlineLevel="0" collapsed="false">
      <c r="A21" s="11" t="s">
        <v>469</v>
      </c>
      <c r="B21" s="46" t="n">
        <f aca="false">B19+B20+Model!C13</f>
        <v>3265.77659574468</v>
      </c>
      <c r="C21" s="46" t="n">
        <f aca="false">C19+C20+Model!C13</f>
        <v>4135.86170212766</v>
      </c>
      <c r="D21" s="46" t="n">
        <f aca="false">D19+D20+Model!C13</f>
        <v>5036.58510638298</v>
      </c>
    </row>
    <row r="22" customFormat="false" ht="15" hidden="false" customHeight="false" outlineLevel="0" collapsed="false">
      <c r="A22" s="12" t="s">
        <v>470</v>
      </c>
      <c r="B22" s="19" t="n">
        <f aca="false">(B17+B18)*(1+Inputs!$B$73)^3</f>
        <v>25918.952979139</v>
      </c>
      <c r="C22" s="19" t="n">
        <f aca="false">(C17+C18)*(1+Inputs!$B$73)^3</f>
        <v>26824.7440138796</v>
      </c>
      <c r="D22" s="19" t="n">
        <f aca="false">(D17+D18)*(1+Inputs!$B$73)^3</f>
        <v>27648.2903912068</v>
      </c>
    </row>
    <row r="23" customFormat="false" ht="15" hidden="false" customHeight="false" outlineLevel="0" collapsed="false">
      <c r="A23" s="11" t="s">
        <v>471</v>
      </c>
      <c r="B23" s="46" t="n">
        <f aca="false">B17*(1+Inputs!$B$73)^3*B10+B18*(1+Inputs!$B$73)^3*B11+Model!C13</f>
        <v>2911.98097799618</v>
      </c>
      <c r="C23" s="46" t="n">
        <f aca="false">C17*(1+Inputs!$B$73)^3*C10+C18*(1+Inputs!$B$73)^3*C11+Model!C13</f>
        <v>3911.48211842171</v>
      </c>
      <c r="D23" s="46" t="n">
        <f aca="false">D17*(1+Inputs!$B$73)^3*D10+D18*(1+Inputs!$B$73)^3*D11+Model!C13</f>
        <v>4785.31298698055</v>
      </c>
    </row>
    <row r="24" customFormat="false" ht="15" hidden="false" customHeight="false" outlineLevel="0" collapsed="false">
      <c r="A24" s="12" t="s">
        <v>472</v>
      </c>
      <c r="B24" s="19" t="n">
        <f aca="false">(B23-B22*Inputs!$B$76)*(1-Inputs!$B$78)+B22*Inputs!$B$76-B22*B12-B22*Inputs!$B$73/(1+Inputs!$B$73)*Inputs!$B$77</f>
        <v>703.611008555435</v>
      </c>
      <c r="C24" s="19" t="n">
        <f aca="false">(C23-C22*Inputs!$B$76)*(1-Inputs!$B$78)+C22*Inputs!$B$76-C22*C12-C22*Inputs!$B$73/(1+Inputs!$B$73)*Inputs!$B$77</f>
        <v>1678.72692925291</v>
      </c>
      <c r="D24" s="19" t="n">
        <f aca="false">(D23-D22*Inputs!$B$76)*(1-Inputs!$B$78)+D22*Inputs!$B$76-D22*D12-D22*Inputs!$B$73/(1+Inputs!$B$73)*Inputs!$B$77</f>
        <v>2441.35276753128</v>
      </c>
      <c r="E24" s="7" t="s">
        <v>473</v>
      </c>
    </row>
    <row r="25" customFormat="false" ht="15" hidden="false" customHeight="false" outlineLevel="0" collapsed="false">
      <c r="A25" s="12" t="s">
        <v>474</v>
      </c>
      <c r="B25" s="19" t="n">
        <f aca="false">(B21-(B17+B18)*Inputs!$B$76)*(1-Inputs!$B$78)+(B17+B18)*Inputs!$B$76-Inputs!$B$74-Inputs!$B$59*0.5</f>
        <v>919.102042553192</v>
      </c>
      <c r="C25" s="19" t="n">
        <f aca="false">(C21-(C17+C18)*Inputs!$B$76)*(1-Inputs!$B$78)+(C17+C18)*Inputs!$B$76-Inputs!$B$74-Inputs!$B$59*0.5</f>
        <v>1596.51617021277</v>
      </c>
      <c r="D25" s="19" t="n">
        <f aca="false">(D21-(D17+D18)*Inputs!$B$76)*(1-Inputs!$B$78)+(D17+D18)*Inputs!$B$76-Inputs!$B$74-Inputs!$B$59*0.5</f>
        <v>2295.74905531915</v>
      </c>
      <c r="E25" s="7" t="s">
        <v>475</v>
      </c>
    </row>
    <row r="26" customFormat="false" ht="15" hidden="false" customHeight="false" outlineLevel="0" collapsed="false">
      <c r="A26" s="12" t="s">
        <v>476</v>
      </c>
      <c r="B26" s="19" t="n">
        <f aca="false">B25/(1+B13)^0.7+(B25*2/3+B24/3)/(1+B13)^1.7+(B25/3+B24*2/3)/(1+B13)^2.7+B24/(1+B13)^3.7</f>
        <v>2780.77659949631</v>
      </c>
      <c r="C26" s="19" t="n">
        <f aca="false">C25/(1+C13)^0.7+(C25*2/3+C24/3)/(1+C13)^1.7+(C25/3+C24*2/3)/(1+C13)^2.7+C24/(1+C13)^3.7</f>
        <v>5612.59645991795</v>
      </c>
      <c r="D26" s="19" t="n">
        <f aca="false">D25/(1+D13)^0.7+(D25*2/3+D24/3)/(1+D13)^1.7+(D25/3+D24*2/3)/(1+D13)^2.7+D24/(1+D13)^3.7</f>
        <v>8196.46184115283</v>
      </c>
      <c r="E26" s="7" t="s">
        <v>477</v>
      </c>
    </row>
    <row r="27" customFormat="false" ht="15" hidden="false" customHeight="false" outlineLevel="0" collapsed="false">
      <c r="A27" s="12" t="s">
        <v>478</v>
      </c>
      <c r="B27" s="19" t="n">
        <f aca="false">AVERAGE(B24*(1+Inputs!$B$85)/(B13-Inputs!$B$85),B23*B14)</f>
        <v>16317.9937796055</v>
      </c>
      <c r="C27" s="19" t="n">
        <f aca="false">AVERAGE(C24*(1+Inputs!$B$85)/(C13-Inputs!$B$85),C23*C14)</f>
        <v>31625.9720289194</v>
      </c>
      <c r="D27" s="19" t="n">
        <f aca="false">AVERAGE(D24*(1+Inputs!$B$85)/(D13-Inputs!$B$85),D23*D14)</f>
        <v>48361.8988915826</v>
      </c>
    </row>
    <row r="28" customFormat="false" ht="15" hidden="false" customHeight="false" outlineLevel="0" collapsed="false">
      <c r="A28" s="11" t="s">
        <v>428</v>
      </c>
      <c r="B28" s="46" t="n">
        <f aca="false">B26+B27/(1+B13)^3.7</f>
        <v>15115.1932366688</v>
      </c>
      <c r="C28" s="46" t="n">
        <f aca="false">C26+C27/(1+C13)^3.7</f>
        <v>29932.5184068871</v>
      </c>
      <c r="D28" s="46" t="n">
        <f aca="false">D26+D27/(1+D13)^3.7</f>
        <v>46034.0057030091</v>
      </c>
    </row>
    <row r="29" customFormat="false" ht="15" hidden="false" customHeight="false" outlineLevel="0" collapsed="false">
      <c r="A29" s="12" t="s">
        <v>479</v>
      </c>
      <c r="B29" s="19" t="n">
        <f aca="false">B28-DCF!B6-DCF!B7</f>
        <v>5666.71323666879</v>
      </c>
      <c r="C29" s="19" t="n">
        <f aca="false">C28-DCF!B6-DCF!B7</f>
        <v>20484.0384068871</v>
      </c>
      <c r="D29" s="19" t="n">
        <f aca="false">D28-DCF!B6-DCF!B7</f>
        <v>36585.5257030091</v>
      </c>
    </row>
    <row r="30" customFormat="false" ht="15" hidden="false" customHeight="false" outlineLevel="0" collapsed="false">
      <c r="A30" s="11" t="s">
        <v>432</v>
      </c>
      <c r="B30" s="47" t="n">
        <f aca="false">B29/Inputs!$B$8</f>
        <v>10.7020080012631</v>
      </c>
      <c r="C30" s="47" t="n">
        <f aca="false">C29/Inputs!$B$8</f>
        <v>38.6856249421854</v>
      </c>
      <c r="D30" s="47" t="n">
        <f aca="false">D29/Inputs!$B$8</f>
        <v>69.0944772483647</v>
      </c>
    </row>
    <row r="31" customFormat="false" ht="15" hidden="false" customHeight="false" outlineLevel="0" collapsed="false">
      <c r="A31" s="12" t="s">
        <v>480</v>
      </c>
      <c r="B31" s="39" t="n">
        <f aca="false">B30/Inputs!$B$7-1</f>
        <v>-0.665562249960529</v>
      </c>
      <c r="C31" s="39" t="n">
        <f aca="false">C30/Inputs!$B$7-1</f>
        <v>0.208925779443292</v>
      </c>
      <c r="D31" s="39" t="n">
        <f aca="false">D30/Inputs!$B$7-1</f>
        <v>1.1592024140114</v>
      </c>
    </row>
    <row r="32" customFormat="false" ht="15" hidden="false" customHeight="false" outlineLevel="0" collapsed="false">
      <c r="A32" s="12" t="s">
        <v>481</v>
      </c>
      <c r="B32" s="39" t="n">
        <f aca="false">B27/(1+B13)^3.7/B28</f>
        <v>0.816027717545134</v>
      </c>
      <c r="C32" s="39" t="n">
        <f aca="false">C27/(1+C13)^3.7/C28</f>
        <v>0.81249167264768</v>
      </c>
      <c r="D32" s="39" t="n">
        <f aca="false">D27/(1+D13)^3.7/D28</f>
        <v>0.821947672900057</v>
      </c>
    </row>
    <row r="33" customFormat="false" ht="15" hidden="false" customHeight="false" outlineLevel="0" collapsed="false">
      <c r="A33" s="12" t="s">
        <v>482</v>
      </c>
      <c r="B33" s="45" t="n">
        <f aca="false">B28/B21</f>
        <v>4.62836106314313</v>
      </c>
      <c r="C33" s="45" t="n">
        <f aca="false">C28/C21</f>
        <v>7.23731124555945</v>
      </c>
      <c r="D33" s="45" t="n">
        <f aca="false">D28/D21</f>
        <v>9.13992412133951</v>
      </c>
    </row>
    <row r="35" customFormat="false" ht="15" hidden="false" customHeight="false" outlineLevel="0" collapsed="false">
      <c r="A35" s="12" t="s">
        <v>483</v>
      </c>
      <c r="B35" s="21" t="n">
        <v>0.3</v>
      </c>
      <c r="C35" s="21" t="n">
        <v>0.45</v>
      </c>
      <c r="D35" s="21" t="n">
        <v>0.25</v>
      </c>
    </row>
    <row r="36" customFormat="false" ht="15" hidden="false" customHeight="false" outlineLevel="0" collapsed="false">
      <c r="A36" s="11" t="s">
        <v>484</v>
      </c>
      <c r="B36" s="47" t="n">
        <f aca="false">SUMPRODUCT(B30:D30,B35:D35)/SUM(B35:D35)</f>
        <v>37.8927529364535</v>
      </c>
      <c r="E36" s="7" t="s">
        <v>485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7" min="2" style="0" width="12"/>
  </cols>
  <sheetData>
    <row r="1" customFormat="false" ht="16.15" hidden="false" customHeight="false" outlineLevel="0" collapsed="false">
      <c r="A1" s="6" t="s">
        <v>486</v>
      </c>
    </row>
    <row r="2" customFormat="false" ht="15" hidden="false" customHeight="false" outlineLevel="0" collapsed="false">
      <c r="A2" s="7" t="s">
        <v>487</v>
      </c>
    </row>
    <row r="4" customFormat="false" ht="15" hidden="false" customHeight="false" outlineLevel="0" collapsed="false">
      <c r="A4" s="11" t="s">
        <v>488</v>
      </c>
    </row>
    <row r="5" customFormat="false" ht="15" hidden="false" customHeight="false" outlineLevel="0" collapsed="false">
      <c r="B5" s="48" t="n">
        <v>6.5</v>
      </c>
      <c r="C5" s="48" t="n">
        <v>7.5</v>
      </c>
      <c r="D5" s="48" t="n">
        <v>8.5</v>
      </c>
      <c r="E5" s="48" t="n">
        <v>9.5</v>
      </c>
      <c r="F5" s="48" t="n">
        <v>11</v>
      </c>
      <c r="G5" s="48" t="n">
        <v>12</v>
      </c>
    </row>
    <row r="6" customFormat="false" ht="15" hidden="false" customHeight="false" outlineLevel="0" collapsed="false">
      <c r="A6" s="49" t="n">
        <v>0.13</v>
      </c>
      <c r="B6" s="50" t="n">
        <f aca="false">((Scenarios!C25/(1+Scenarios!C13)^0.7+(Scenarios!C25*2/3+(((Scenarios!C17*(1+Inputs!$B$73)^3*$A6+Scenarios!C18*(1+Inputs!$B$73)^3*Scenarios!C11+Model!C13)-Scenarios!C22*Inputs!$B$76)*(1-Inputs!$B$78)+Scenarios!C22*Inputs!$B$76-Scenarios!C22*Scenarios!C12-Scenarios!C22*Inputs!$B$73/(1+Inputs!$B$73)*Inputs!$B$77)/3)/(1+Scenarios!C13)^1.7+(Scenarios!C25/3+(((Scenarios!C17*(1+Inputs!$B$73)^3*$A6+Scenarios!C18*(1+Inputs!$B$73)^3*Scenarios!C11+Model!C13)-Scenarios!C22*Inputs!$B$76)*(1-Inputs!$B$78)+Scenarios!C22*Inputs!$B$76-Scenarios!C22*Scenarios!C12-Scenarios!C22*Inputs!$B$73/(1+Inputs!$B$73)*Inputs!$B$77)*2/3)/(1+Scenarios!C13)^2.7+(((Scenarios!C17*(1+Inputs!$B$73)^3*$A6+Scenarios!C18*(1+Inputs!$B$73)^3*Scenarios!C11+Model!C13)-Scenarios!C22*Inputs!$B$76)*(1-Inputs!$B$78)+Scenarios!C22*Inputs!$B$76-Scenarios!C22*Scenarios!C12-Scenarios!C22*Inputs!$B$73/(1+Inputs!$B$73)*Inputs!$B$77)/(1+Scenarios!C13)^3.7)+AVERAGE((((Scenarios!C17*(1+Inputs!$B$73)^3*$A6+Scenarios!C18*(1+Inputs!$B$73)^3*Scenarios!C11+Model!C13)-Scenarios!C22*Inputs!$B$76)*(1-Inputs!$B$78)+Scenarios!C22*Inputs!$B$76-Scenarios!C22*Scenarios!C12-Scenarios!C22*Inputs!$B$73/(1+Inputs!$B$73)*Inputs!$B$77)*(1+Inputs!$B$85)/(Scenarios!C13-Inputs!$B$85),(Scenarios!C17*(1+Inputs!$B$73)^3*$A6+Scenarios!C18*(1+Inputs!$B$73)^3*Scenarios!C11+Model!C13)*B$5)/(1+Scenarios!C13)^3.7-DCF!B6-DCF!B7)/Inputs!$B$8</f>
        <v>22.3107093420848</v>
      </c>
      <c r="C6" s="50" t="n">
        <f aca="false">((Scenarios!C25/(1+Scenarios!C13)^0.7+(Scenarios!C25*2/3+(((Scenarios!C17*(1+Inputs!$B$73)^3*$A6+Scenarios!C18*(1+Inputs!$B$73)^3*Scenarios!C11+Model!C13)-Scenarios!C22*Inputs!$B$76)*(1-Inputs!$B$78)+Scenarios!C22*Inputs!$B$76-Scenarios!C22*Scenarios!C12-Scenarios!C22*Inputs!$B$73/(1+Inputs!$B$73)*Inputs!$B$77)/3)/(1+Scenarios!C13)^1.7+(Scenarios!C25/3+(((Scenarios!C17*(1+Inputs!$B$73)^3*$A6+Scenarios!C18*(1+Inputs!$B$73)^3*Scenarios!C11+Model!C13)-Scenarios!C22*Inputs!$B$76)*(1-Inputs!$B$78)+Scenarios!C22*Inputs!$B$76-Scenarios!C22*Scenarios!C12-Scenarios!C22*Inputs!$B$73/(1+Inputs!$B$73)*Inputs!$B$77)*2/3)/(1+Scenarios!C13)^2.7+(((Scenarios!C17*(1+Inputs!$B$73)^3*$A6+Scenarios!C18*(1+Inputs!$B$73)^3*Scenarios!C11+Model!C13)-Scenarios!C22*Inputs!$B$76)*(1-Inputs!$B$78)+Scenarios!C22*Inputs!$B$76-Scenarios!C22*Scenarios!C12-Scenarios!C22*Inputs!$B$73/(1+Inputs!$B$73)*Inputs!$B$77)/(1+Scenarios!C13)^3.7)+AVERAGE((((Scenarios!C17*(1+Inputs!$B$73)^3*$A6+Scenarios!C18*(1+Inputs!$B$73)^3*Scenarios!C11+Model!C13)-Scenarios!C22*Inputs!$B$76)*(1-Inputs!$B$78)+Scenarios!C22*Inputs!$B$76-Scenarios!C22*Scenarios!C12-Scenarios!C22*Inputs!$B$73/(1+Inputs!$B$73)*Inputs!$B$77)*(1+Inputs!$B$85)/(Scenarios!C13-Inputs!$B$85),(Scenarios!C17*(1+Inputs!$B$73)^3*$A6+Scenarios!C18*(1+Inputs!$B$73)^3*Scenarios!C11+Model!C13)*C$5)/(1+Scenarios!C13)^3.7-DCF!B6-DCF!B7)/Inputs!$B$8</f>
        <v>24.6495989497001</v>
      </c>
      <c r="D6" s="50" t="n">
        <f aca="false">((Scenarios!C25/(1+Scenarios!C13)^0.7+(Scenarios!C25*2/3+(((Scenarios!C17*(1+Inputs!$B$73)^3*$A6+Scenarios!C18*(1+Inputs!$B$73)^3*Scenarios!C11+Model!C13)-Scenarios!C22*Inputs!$B$76)*(1-Inputs!$B$78)+Scenarios!C22*Inputs!$B$76-Scenarios!C22*Scenarios!C12-Scenarios!C22*Inputs!$B$73/(1+Inputs!$B$73)*Inputs!$B$77)/3)/(1+Scenarios!C13)^1.7+(Scenarios!C25/3+(((Scenarios!C17*(1+Inputs!$B$73)^3*$A6+Scenarios!C18*(1+Inputs!$B$73)^3*Scenarios!C11+Model!C13)-Scenarios!C22*Inputs!$B$76)*(1-Inputs!$B$78)+Scenarios!C22*Inputs!$B$76-Scenarios!C22*Scenarios!C12-Scenarios!C22*Inputs!$B$73/(1+Inputs!$B$73)*Inputs!$B$77)*2/3)/(1+Scenarios!C13)^2.7+(((Scenarios!C17*(1+Inputs!$B$73)^3*$A6+Scenarios!C18*(1+Inputs!$B$73)^3*Scenarios!C11+Model!C13)-Scenarios!C22*Inputs!$B$76)*(1-Inputs!$B$78)+Scenarios!C22*Inputs!$B$76-Scenarios!C22*Scenarios!C12-Scenarios!C22*Inputs!$B$73/(1+Inputs!$B$73)*Inputs!$B$77)/(1+Scenarios!C13)^3.7)+AVERAGE((((Scenarios!C17*(1+Inputs!$B$73)^3*$A6+Scenarios!C18*(1+Inputs!$B$73)^3*Scenarios!C11+Model!C13)-Scenarios!C22*Inputs!$B$76)*(1-Inputs!$B$78)+Scenarios!C22*Inputs!$B$76-Scenarios!C22*Scenarios!C12-Scenarios!C22*Inputs!$B$73/(1+Inputs!$B$73)*Inputs!$B$77)*(1+Inputs!$B$85)/(Scenarios!C13-Inputs!$B$85),(Scenarios!C17*(1+Inputs!$B$73)^3*$A6+Scenarios!C18*(1+Inputs!$B$73)^3*Scenarios!C11+Model!C13)*D$5)/(1+Scenarios!C13)^3.7-DCF!B6-DCF!B7)/Inputs!$B$8</f>
        <v>26.9884885573153</v>
      </c>
      <c r="E6" s="50" t="n">
        <f aca="false">((Scenarios!C25/(1+Scenarios!C13)^0.7+(Scenarios!C25*2/3+(((Scenarios!C17*(1+Inputs!$B$73)^3*$A6+Scenarios!C18*(1+Inputs!$B$73)^3*Scenarios!C11+Model!C13)-Scenarios!C22*Inputs!$B$76)*(1-Inputs!$B$78)+Scenarios!C22*Inputs!$B$76-Scenarios!C22*Scenarios!C12-Scenarios!C22*Inputs!$B$73/(1+Inputs!$B$73)*Inputs!$B$77)/3)/(1+Scenarios!C13)^1.7+(Scenarios!C25/3+(((Scenarios!C17*(1+Inputs!$B$73)^3*$A6+Scenarios!C18*(1+Inputs!$B$73)^3*Scenarios!C11+Model!C13)-Scenarios!C22*Inputs!$B$76)*(1-Inputs!$B$78)+Scenarios!C22*Inputs!$B$76-Scenarios!C22*Scenarios!C12-Scenarios!C22*Inputs!$B$73/(1+Inputs!$B$73)*Inputs!$B$77)*2/3)/(1+Scenarios!C13)^2.7+(((Scenarios!C17*(1+Inputs!$B$73)^3*$A6+Scenarios!C18*(1+Inputs!$B$73)^3*Scenarios!C11+Model!C13)-Scenarios!C22*Inputs!$B$76)*(1-Inputs!$B$78)+Scenarios!C22*Inputs!$B$76-Scenarios!C22*Scenarios!C12-Scenarios!C22*Inputs!$B$73/(1+Inputs!$B$73)*Inputs!$B$77)/(1+Scenarios!C13)^3.7)+AVERAGE((((Scenarios!C17*(1+Inputs!$B$73)^3*$A6+Scenarios!C18*(1+Inputs!$B$73)^3*Scenarios!C11+Model!C13)-Scenarios!C22*Inputs!$B$76)*(1-Inputs!$B$78)+Scenarios!C22*Inputs!$B$76-Scenarios!C22*Scenarios!C12-Scenarios!C22*Inputs!$B$73/(1+Inputs!$B$73)*Inputs!$B$77)*(1+Inputs!$B$85)/(Scenarios!C13-Inputs!$B$85),(Scenarios!C17*(1+Inputs!$B$73)^3*$A6+Scenarios!C18*(1+Inputs!$B$73)^3*Scenarios!C11+Model!C13)*E$5)/(1+Scenarios!C13)^3.7-DCF!B6-DCF!B7)/Inputs!$B$8</f>
        <v>29.3273781649305</v>
      </c>
      <c r="F6" s="50" t="n">
        <f aca="false">((Scenarios!C25/(1+Scenarios!C13)^0.7+(Scenarios!C25*2/3+(((Scenarios!C17*(1+Inputs!$B$73)^3*$A6+Scenarios!C18*(1+Inputs!$B$73)^3*Scenarios!C11+Model!C13)-Scenarios!C22*Inputs!$B$76)*(1-Inputs!$B$78)+Scenarios!C22*Inputs!$B$76-Scenarios!C22*Scenarios!C12-Scenarios!C22*Inputs!$B$73/(1+Inputs!$B$73)*Inputs!$B$77)/3)/(1+Scenarios!C13)^1.7+(Scenarios!C25/3+(((Scenarios!C17*(1+Inputs!$B$73)^3*$A6+Scenarios!C18*(1+Inputs!$B$73)^3*Scenarios!C11+Model!C13)-Scenarios!C22*Inputs!$B$76)*(1-Inputs!$B$78)+Scenarios!C22*Inputs!$B$76-Scenarios!C22*Scenarios!C12-Scenarios!C22*Inputs!$B$73/(1+Inputs!$B$73)*Inputs!$B$77)*2/3)/(1+Scenarios!C13)^2.7+(((Scenarios!C17*(1+Inputs!$B$73)^3*$A6+Scenarios!C18*(1+Inputs!$B$73)^3*Scenarios!C11+Model!C13)-Scenarios!C22*Inputs!$B$76)*(1-Inputs!$B$78)+Scenarios!C22*Inputs!$B$76-Scenarios!C22*Scenarios!C12-Scenarios!C22*Inputs!$B$73/(1+Inputs!$B$73)*Inputs!$B$77)/(1+Scenarios!C13)^3.7)+AVERAGE((((Scenarios!C17*(1+Inputs!$B$73)^3*$A6+Scenarios!C18*(1+Inputs!$B$73)^3*Scenarios!C11+Model!C13)-Scenarios!C22*Inputs!$B$76)*(1-Inputs!$B$78)+Scenarios!C22*Inputs!$B$76-Scenarios!C22*Scenarios!C12-Scenarios!C22*Inputs!$B$73/(1+Inputs!$B$73)*Inputs!$B$77)*(1+Inputs!$B$85)/(Scenarios!C13-Inputs!$B$85),(Scenarios!C17*(1+Inputs!$B$73)^3*$A6+Scenarios!C18*(1+Inputs!$B$73)^3*Scenarios!C11+Model!C13)*F$5)/(1+Scenarios!C13)^3.7-DCF!B6-DCF!B7)/Inputs!$B$8</f>
        <v>32.8357125763534</v>
      </c>
      <c r="G6" s="50" t="n">
        <f aca="false">((Scenarios!C25/(1+Scenarios!C13)^0.7+(Scenarios!C25*2/3+(((Scenarios!C17*(1+Inputs!$B$73)^3*$A6+Scenarios!C18*(1+Inputs!$B$73)^3*Scenarios!C11+Model!C13)-Scenarios!C22*Inputs!$B$76)*(1-Inputs!$B$78)+Scenarios!C22*Inputs!$B$76-Scenarios!C22*Scenarios!C12-Scenarios!C22*Inputs!$B$73/(1+Inputs!$B$73)*Inputs!$B$77)/3)/(1+Scenarios!C13)^1.7+(Scenarios!C25/3+(((Scenarios!C17*(1+Inputs!$B$73)^3*$A6+Scenarios!C18*(1+Inputs!$B$73)^3*Scenarios!C11+Model!C13)-Scenarios!C22*Inputs!$B$76)*(1-Inputs!$B$78)+Scenarios!C22*Inputs!$B$76-Scenarios!C22*Scenarios!C12-Scenarios!C22*Inputs!$B$73/(1+Inputs!$B$73)*Inputs!$B$77)*2/3)/(1+Scenarios!C13)^2.7+(((Scenarios!C17*(1+Inputs!$B$73)^3*$A6+Scenarios!C18*(1+Inputs!$B$73)^3*Scenarios!C11+Model!C13)-Scenarios!C22*Inputs!$B$76)*(1-Inputs!$B$78)+Scenarios!C22*Inputs!$B$76-Scenarios!C22*Scenarios!C12-Scenarios!C22*Inputs!$B$73/(1+Inputs!$B$73)*Inputs!$B$77)/(1+Scenarios!C13)^3.7)+AVERAGE((((Scenarios!C17*(1+Inputs!$B$73)^3*$A6+Scenarios!C18*(1+Inputs!$B$73)^3*Scenarios!C11+Model!C13)-Scenarios!C22*Inputs!$B$76)*(1-Inputs!$B$78)+Scenarios!C22*Inputs!$B$76-Scenarios!C22*Scenarios!C12-Scenarios!C22*Inputs!$B$73/(1+Inputs!$B$73)*Inputs!$B$77)*(1+Inputs!$B$85)/(Scenarios!C13-Inputs!$B$85),(Scenarios!C17*(1+Inputs!$B$73)^3*$A6+Scenarios!C18*(1+Inputs!$B$73)^3*Scenarios!C11+Model!C13)*G$5)/(1+Scenarios!C13)^3.7-DCF!B6-DCF!B7)/Inputs!$B$8</f>
        <v>35.1746021839686</v>
      </c>
    </row>
    <row r="7" customFormat="false" ht="15" hidden="false" customHeight="false" outlineLevel="0" collapsed="false">
      <c r="A7" s="49" t="n">
        <v>0.15</v>
      </c>
      <c r="B7" s="50" t="n">
        <f aca="false">((Scenarios!C25/(1+Scenarios!C13)^0.7+(Scenarios!C25*2/3+(((Scenarios!C17*(1+Inputs!$B$73)^3*$A7+Scenarios!C18*(1+Inputs!$B$73)^3*Scenarios!C11+Model!C13)-Scenarios!C22*Inputs!$B$76)*(1-Inputs!$B$78)+Scenarios!C22*Inputs!$B$76-Scenarios!C22*Scenarios!C12-Scenarios!C22*Inputs!$B$73/(1+Inputs!$B$73)*Inputs!$B$77)/3)/(1+Scenarios!C13)^1.7+(Scenarios!C25/3+(((Scenarios!C17*(1+Inputs!$B$73)^3*$A7+Scenarios!C18*(1+Inputs!$B$73)^3*Scenarios!C11+Model!C13)-Scenarios!C22*Inputs!$B$76)*(1-Inputs!$B$78)+Scenarios!C22*Inputs!$B$76-Scenarios!C22*Scenarios!C12-Scenarios!C22*Inputs!$B$73/(1+Inputs!$B$73)*Inputs!$B$77)*2/3)/(1+Scenarios!C13)^2.7+(((Scenarios!C17*(1+Inputs!$B$73)^3*$A7+Scenarios!C18*(1+Inputs!$B$73)^3*Scenarios!C11+Model!C13)-Scenarios!C22*Inputs!$B$76)*(1-Inputs!$B$78)+Scenarios!C22*Inputs!$B$76-Scenarios!C22*Scenarios!C12-Scenarios!C22*Inputs!$B$73/(1+Inputs!$B$73)*Inputs!$B$77)/(1+Scenarios!C13)^3.7)+AVERAGE((((Scenarios!C17*(1+Inputs!$B$73)^3*$A7+Scenarios!C18*(1+Inputs!$B$73)^3*Scenarios!C11+Model!C13)-Scenarios!C22*Inputs!$B$76)*(1-Inputs!$B$78)+Scenarios!C22*Inputs!$B$76-Scenarios!C22*Scenarios!C12-Scenarios!C22*Inputs!$B$73/(1+Inputs!$B$73)*Inputs!$B$77)*(1+Inputs!$B$85)/(Scenarios!C13-Inputs!$B$85),(Scenarios!C17*(1+Inputs!$B$73)^3*$A7+Scenarios!C18*(1+Inputs!$B$73)^3*Scenarios!C11+Model!C13)*B$5)/(1+Scenarios!C13)^3.7-DCF!B6-DCF!B7)/Inputs!$B$8</f>
        <v>28.3679447440242</v>
      </c>
      <c r="C7" s="50" t="n">
        <f aca="false">((Scenarios!C25/(1+Scenarios!C13)^0.7+(Scenarios!C25*2/3+(((Scenarios!C17*(1+Inputs!$B$73)^3*$A7+Scenarios!C18*(1+Inputs!$B$73)^3*Scenarios!C11+Model!C13)-Scenarios!C22*Inputs!$B$76)*(1-Inputs!$B$78)+Scenarios!C22*Inputs!$B$76-Scenarios!C22*Scenarios!C12-Scenarios!C22*Inputs!$B$73/(1+Inputs!$B$73)*Inputs!$B$77)/3)/(1+Scenarios!C13)^1.7+(Scenarios!C25/3+(((Scenarios!C17*(1+Inputs!$B$73)^3*$A7+Scenarios!C18*(1+Inputs!$B$73)^3*Scenarios!C11+Model!C13)-Scenarios!C22*Inputs!$B$76)*(1-Inputs!$B$78)+Scenarios!C22*Inputs!$B$76-Scenarios!C22*Scenarios!C12-Scenarios!C22*Inputs!$B$73/(1+Inputs!$B$73)*Inputs!$B$77)*2/3)/(1+Scenarios!C13)^2.7+(((Scenarios!C17*(1+Inputs!$B$73)^3*$A7+Scenarios!C18*(1+Inputs!$B$73)^3*Scenarios!C11+Model!C13)-Scenarios!C22*Inputs!$B$76)*(1-Inputs!$B$78)+Scenarios!C22*Inputs!$B$76-Scenarios!C22*Scenarios!C12-Scenarios!C22*Inputs!$B$73/(1+Inputs!$B$73)*Inputs!$B$77)/(1+Scenarios!C13)^3.7)+AVERAGE((((Scenarios!C17*(1+Inputs!$B$73)^3*$A7+Scenarios!C18*(1+Inputs!$B$73)^3*Scenarios!C11+Model!C13)-Scenarios!C22*Inputs!$B$76)*(1-Inputs!$B$78)+Scenarios!C22*Inputs!$B$76-Scenarios!C22*Scenarios!C12-Scenarios!C22*Inputs!$B$73/(1+Inputs!$B$73)*Inputs!$B$77)*(1+Inputs!$B$85)/(Scenarios!C13-Inputs!$B$85),(Scenarios!C17*(1+Inputs!$B$73)^3*$A7+Scenarios!C18*(1+Inputs!$B$73)^3*Scenarios!C11+Model!C13)*C$5)/(1+Scenarios!C13)^3.7-DCF!B6-DCF!B7)/Inputs!$B$8</f>
        <v>30.9575378132391</v>
      </c>
      <c r="D7" s="50" t="n">
        <f aca="false">((Scenarios!C25/(1+Scenarios!C13)^0.7+(Scenarios!C25*2/3+(((Scenarios!C17*(1+Inputs!$B$73)^3*$A7+Scenarios!C18*(1+Inputs!$B$73)^3*Scenarios!C11+Model!C13)-Scenarios!C22*Inputs!$B$76)*(1-Inputs!$B$78)+Scenarios!C22*Inputs!$B$76-Scenarios!C22*Scenarios!C12-Scenarios!C22*Inputs!$B$73/(1+Inputs!$B$73)*Inputs!$B$77)/3)/(1+Scenarios!C13)^1.7+(Scenarios!C25/3+(((Scenarios!C17*(1+Inputs!$B$73)^3*$A7+Scenarios!C18*(1+Inputs!$B$73)^3*Scenarios!C11+Model!C13)-Scenarios!C22*Inputs!$B$76)*(1-Inputs!$B$78)+Scenarios!C22*Inputs!$B$76-Scenarios!C22*Scenarios!C12-Scenarios!C22*Inputs!$B$73/(1+Inputs!$B$73)*Inputs!$B$77)*2/3)/(1+Scenarios!C13)^2.7+(((Scenarios!C17*(1+Inputs!$B$73)^3*$A7+Scenarios!C18*(1+Inputs!$B$73)^3*Scenarios!C11+Model!C13)-Scenarios!C22*Inputs!$B$76)*(1-Inputs!$B$78)+Scenarios!C22*Inputs!$B$76-Scenarios!C22*Scenarios!C12-Scenarios!C22*Inputs!$B$73/(1+Inputs!$B$73)*Inputs!$B$77)/(1+Scenarios!C13)^3.7)+AVERAGE((((Scenarios!C17*(1+Inputs!$B$73)^3*$A7+Scenarios!C18*(1+Inputs!$B$73)^3*Scenarios!C11+Model!C13)-Scenarios!C22*Inputs!$B$76)*(1-Inputs!$B$78)+Scenarios!C22*Inputs!$B$76-Scenarios!C22*Scenarios!C12-Scenarios!C22*Inputs!$B$73/(1+Inputs!$B$73)*Inputs!$B$77)*(1+Inputs!$B$85)/(Scenarios!C13-Inputs!$B$85),(Scenarios!C17*(1+Inputs!$B$73)^3*$A7+Scenarios!C18*(1+Inputs!$B$73)^3*Scenarios!C11+Model!C13)*D$5)/(1+Scenarios!C13)^3.7-DCF!B6-DCF!B7)/Inputs!$B$8</f>
        <v>33.5471308824539</v>
      </c>
      <c r="E7" s="50" t="n">
        <f aca="false">((Scenarios!C25/(1+Scenarios!C13)^0.7+(Scenarios!C25*2/3+(((Scenarios!C17*(1+Inputs!$B$73)^3*$A7+Scenarios!C18*(1+Inputs!$B$73)^3*Scenarios!C11+Model!C13)-Scenarios!C22*Inputs!$B$76)*(1-Inputs!$B$78)+Scenarios!C22*Inputs!$B$76-Scenarios!C22*Scenarios!C12-Scenarios!C22*Inputs!$B$73/(1+Inputs!$B$73)*Inputs!$B$77)/3)/(1+Scenarios!C13)^1.7+(Scenarios!C25/3+(((Scenarios!C17*(1+Inputs!$B$73)^3*$A7+Scenarios!C18*(1+Inputs!$B$73)^3*Scenarios!C11+Model!C13)-Scenarios!C22*Inputs!$B$76)*(1-Inputs!$B$78)+Scenarios!C22*Inputs!$B$76-Scenarios!C22*Scenarios!C12-Scenarios!C22*Inputs!$B$73/(1+Inputs!$B$73)*Inputs!$B$77)*2/3)/(1+Scenarios!C13)^2.7+(((Scenarios!C17*(1+Inputs!$B$73)^3*$A7+Scenarios!C18*(1+Inputs!$B$73)^3*Scenarios!C11+Model!C13)-Scenarios!C22*Inputs!$B$76)*(1-Inputs!$B$78)+Scenarios!C22*Inputs!$B$76-Scenarios!C22*Scenarios!C12-Scenarios!C22*Inputs!$B$73/(1+Inputs!$B$73)*Inputs!$B$77)/(1+Scenarios!C13)^3.7)+AVERAGE((((Scenarios!C17*(1+Inputs!$B$73)^3*$A7+Scenarios!C18*(1+Inputs!$B$73)^3*Scenarios!C11+Model!C13)-Scenarios!C22*Inputs!$B$76)*(1-Inputs!$B$78)+Scenarios!C22*Inputs!$B$76-Scenarios!C22*Scenarios!C12-Scenarios!C22*Inputs!$B$73/(1+Inputs!$B$73)*Inputs!$B$77)*(1+Inputs!$B$85)/(Scenarios!C13-Inputs!$B$85),(Scenarios!C17*(1+Inputs!$B$73)^3*$A7+Scenarios!C18*(1+Inputs!$B$73)^3*Scenarios!C11+Model!C13)*E$5)/(1+Scenarios!C13)^3.7-DCF!B6-DCF!B7)/Inputs!$B$8</f>
        <v>36.1367239516688</v>
      </c>
      <c r="F7" s="50" t="n">
        <f aca="false">((Scenarios!C25/(1+Scenarios!C13)^0.7+(Scenarios!C25*2/3+(((Scenarios!C17*(1+Inputs!$B$73)^3*$A7+Scenarios!C18*(1+Inputs!$B$73)^3*Scenarios!C11+Model!C13)-Scenarios!C22*Inputs!$B$76)*(1-Inputs!$B$78)+Scenarios!C22*Inputs!$B$76-Scenarios!C22*Scenarios!C12-Scenarios!C22*Inputs!$B$73/(1+Inputs!$B$73)*Inputs!$B$77)/3)/(1+Scenarios!C13)^1.7+(Scenarios!C25/3+(((Scenarios!C17*(1+Inputs!$B$73)^3*$A7+Scenarios!C18*(1+Inputs!$B$73)^3*Scenarios!C11+Model!C13)-Scenarios!C22*Inputs!$B$76)*(1-Inputs!$B$78)+Scenarios!C22*Inputs!$B$76-Scenarios!C22*Scenarios!C12-Scenarios!C22*Inputs!$B$73/(1+Inputs!$B$73)*Inputs!$B$77)*2/3)/(1+Scenarios!C13)^2.7+(((Scenarios!C17*(1+Inputs!$B$73)^3*$A7+Scenarios!C18*(1+Inputs!$B$73)^3*Scenarios!C11+Model!C13)-Scenarios!C22*Inputs!$B$76)*(1-Inputs!$B$78)+Scenarios!C22*Inputs!$B$76-Scenarios!C22*Scenarios!C12-Scenarios!C22*Inputs!$B$73/(1+Inputs!$B$73)*Inputs!$B$77)/(1+Scenarios!C13)^3.7)+AVERAGE((((Scenarios!C17*(1+Inputs!$B$73)^3*$A7+Scenarios!C18*(1+Inputs!$B$73)^3*Scenarios!C11+Model!C13)-Scenarios!C22*Inputs!$B$76)*(1-Inputs!$B$78)+Scenarios!C22*Inputs!$B$76-Scenarios!C22*Scenarios!C12-Scenarios!C22*Inputs!$B$73/(1+Inputs!$B$73)*Inputs!$B$77)*(1+Inputs!$B$85)/(Scenarios!C13-Inputs!$B$85),(Scenarios!C17*(1+Inputs!$B$73)^3*$A7+Scenarios!C18*(1+Inputs!$B$73)^3*Scenarios!C11+Model!C13)*F$5)/(1+Scenarios!C13)^3.7-DCF!B6-DCF!B7)/Inputs!$B$8</f>
        <v>40.0211135554911</v>
      </c>
      <c r="G7" s="50" t="n">
        <f aca="false">((Scenarios!C25/(1+Scenarios!C13)^0.7+(Scenarios!C25*2/3+(((Scenarios!C17*(1+Inputs!$B$73)^3*$A7+Scenarios!C18*(1+Inputs!$B$73)^3*Scenarios!C11+Model!C13)-Scenarios!C22*Inputs!$B$76)*(1-Inputs!$B$78)+Scenarios!C22*Inputs!$B$76-Scenarios!C22*Scenarios!C12-Scenarios!C22*Inputs!$B$73/(1+Inputs!$B$73)*Inputs!$B$77)/3)/(1+Scenarios!C13)^1.7+(Scenarios!C25/3+(((Scenarios!C17*(1+Inputs!$B$73)^3*$A7+Scenarios!C18*(1+Inputs!$B$73)^3*Scenarios!C11+Model!C13)-Scenarios!C22*Inputs!$B$76)*(1-Inputs!$B$78)+Scenarios!C22*Inputs!$B$76-Scenarios!C22*Scenarios!C12-Scenarios!C22*Inputs!$B$73/(1+Inputs!$B$73)*Inputs!$B$77)*2/3)/(1+Scenarios!C13)^2.7+(((Scenarios!C17*(1+Inputs!$B$73)^3*$A7+Scenarios!C18*(1+Inputs!$B$73)^3*Scenarios!C11+Model!C13)-Scenarios!C22*Inputs!$B$76)*(1-Inputs!$B$78)+Scenarios!C22*Inputs!$B$76-Scenarios!C22*Scenarios!C12-Scenarios!C22*Inputs!$B$73/(1+Inputs!$B$73)*Inputs!$B$77)/(1+Scenarios!C13)^3.7)+AVERAGE((((Scenarios!C17*(1+Inputs!$B$73)^3*$A7+Scenarios!C18*(1+Inputs!$B$73)^3*Scenarios!C11+Model!C13)-Scenarios!C22*Inputs!$B$76)*(1-Inputs!$B$78)+Scenarios!C22*Inputs!$B$76-Scenarios!C22*Scenarios!C12-Scenarios!C22*Inputs!$B$73/(1+Inputs!$B$73)*Inputs!$B$77)*(1+Inputs!$B$85)/(Scenarios!C13-Inputs!$B$85),(Scenarios!C17*(1+Inputs!$B$73)^3*$A7+Scenarios!C18*(1+Inputs!$B$73)^3*Scenarios!C11+Model!C13)*G$5)/(1+Scenarios!C13)^3.7-DCF!B6-DCF!B7)/Inputs!$B$8</f>
        <v>42.610706624706</v>
      </c>
    </row>
    <row r="8" customFormat="false" ht="15" hidden="false" customHeight="false" outlineLevel="0" collapsed="false">
      <c r="A8" s="49" t="n">
        <v>0.17</v>
      </c>
      <c r="B8" s="50" t="n">
        <f aca="false">((Scenarios!C25/(1+Scenarios!C13)^0.7+(Scenarios!C25*2/3+(((Scenarios!C17*(1+Inputs!$B$73)^3*$A8+Scenarios!C18*(1+Inputs!$B$73)^3*Scenarios!C11+Model!C13)-Scenarios!C22*Inputs!$B$76)*(1-Inputs!$B$78)+Scenarios!C22*Inputs!$B$76-Scenarios!C22*Scenarios!C12-Scenarios!C22*Inputs!$B$73/(1+Inputs!$B$73)*Inputs!$B$77)/3)/(1+Scenarios!C13)^1.7+(Scenarios!C25/3+(((Scenarios!C17*(1+Inputs!$B$73)^3*$A8+Scenarios!C18*(1+Inputs!$B$73)^3*Scenarios!C11+Model!C13)-Scenarios!C22*Inputs!$B$76)*(1-Inputs!$B$78)+Scenarios!C22*Inputs!$B$76-Scenarios!C22*Scenarios!C12-Scenarios!C22*Inputs!$B$73/(1+Inputs!$B$73)*Inputs!$B$77)*2/3)/(1+Scenarios!C13)^2.7+(((Scenarios!C17*(1+Inputs!$B$73)^3*$A8+Scenarios!C18*(1+Inputs!$B$73)^3*Scenarios!C11+Model!C13)-Scenarios!C22*Inputs!$B$76)*(1-Inputs!$B$78)+Scenarios!C22*Inputs!$B$76-Scenarios!C22*Scenarios!C12-Scenarios!C22*Inputs!$B$73/(1+Inputs!$B$73)*Inputs!$B$77)/(1+Scenarios!C13)^3.7)+AVERAGE((((Scenarios!C17*(1+Inputs!$B$73)^3*$A8+Scenarios!C18*(1+Inputs!$B$73)^3*Scenarios!C11+Model!C13)-Scenarios!C22*Inputs!$B$76)*(1-Inputs!$B$78)+Scenarios!C22*Inputs!$B$76-Scenarios!C22*Scenarios!C12-Scenarios!C22*Inputs!$B$73/(1+Inputs!$B$73)*Inputs!$B$77)*(1+Inputs!$B$85)/(Scenarios!C13-Inputs!$B$85),(Scenarios!C17*(1+Inputs!$B$73)^3*$A8+Scenarios!C18*(1+Inputs!$B$73)^3*Scenarios!C11+Model!C13)*B$5)/(1+Scenarios!C13)^3.7-DCF!B6-DCF!B7)/Inputs!$B$8</f>
        <v>34.4251801459636</v>
      </c>
      <c r="C8" s="50" t="n">
        <f aca="false">((Scenarios!C25/(1+Scenarios!C13)^0.7+(Scenarios!C25*2/3+(((Scenarios!C17*(1+Inputs!$B$73)^3*$A8+Scenarios!C18*(1+Inputs!$B$73)^3*Scenarios!C11+Model!C13)-Scenarios!C22*Inputs!$B$76)*(1-Inputs!$B$78)+Scenarios!C22*Inputs!$B$76-Scenarios!C22*Scenarios!C12-Scenarios!C22*Inputs!$B$73/(1+Inputs!$B$73)*Inputs!$B$77)/3)/(1+Scenarios!C13)^1.7+(Scenarios!C25/3+(((Scenarios!C17*(1+Inputs!$B$73)^3*$A8+Scenarios!C18*(1+Inputs!$B$73)^3*Scenarios!C11+Model!C13)-Scenarios!C22*Inputs!$B$76)*(1-Inputs!$B$78)+Scenarios!C22*Inputs!$B$76-Scenarios!C22*Scenarios!C12-Scenarios!C22*Inputs!$B$73/(1+Inputs!$B$73)*Inputs!$B$77)*2/3)/(1+Scenarios!C13)^2.7+(((Scenarios!C17*(1+Inputs!$B$73)^3*$A8+Scenarios!C18*(1+Inputs!$B$73)^3*Scenarios!C11+Model!C13)-Scenarios!C22*Inputs!$B$76)*(1-Inputs!$B$78)+Scenarios!C22*Inputs!$B$76-Scenarios!C22*Scenarios!C12-Scenarios!C22*Inputs!$B$73/(1+Inputs!$B$73)*Inputs!$B$77)/(1+Scenarios!C13)^3.7)+AVERAGE((((Scenarios!C17*(1+Inputs!$B$73)^3*$A8+Scenarios!C18*(1+Inputs!$B$73)^3*Scenarios!C11+Model!C13)-Scenarios!C22*Inputs!$B$76)*(1-Inputs!$B$78)+Scenarios!C22*Inputs!$B$76-Scenarios!C22*Scenarios!C12-Scenarios!C22*Inputs!$B$73/(1+Inputs!$B$73)*Inputs!$B$77)*(1+Inputs!$B$85)/(Scenarios!C13-Inputs!$B$85),(Scenarios!C17*(1+Inputs!$B$73)^3*$A8+Scenarios!C18*(1+Inputs!$B$73)^3*Scenarios!C11+Model!C13)*C$5)/(1+Scenarios!C13)^3.7-DCF!B6-DCF!B7)/Inputs!$B$8</f>
        <v>37.2654766767781</v>
      </c>
      <c r="D8" s="50" t="n">
        <f aca="false">((Scenarios!C25/(1+Scenarios!C13)^0.7+(Scenarios!C25*2/3+(((Scenarios!C17*(1+Inputs!$B$73)^3*$A8+Scenarios!C18*(1+Inputs!$B$73)^3*Scenarios!C11+Model!C13)-Scenarios!C22*Inputs!$B$76)*(1-Inputs!$B$78)+Scenarios!C22*Inputs!$B$76-Scenarios!C22*Scenarios!C12-Scenarios!C22*Inputs!$B$73/(1+Inputs!$B$73)*Inputs!$B$77)/3)/(1+Scenarios!C13)^1.7+(Scenarios!C25/3+(((Scenarios!C17*(1+Inputs!$B$73)^3*$A8+Scenarios!C18*(1+Inputs!$B$73)^3*Scenarios!C11+Model!C13)-Scenarios!C22*Inputs!$B$76)*(1-Inputs!$B$78)+Scenarios!C22*Inputs!$B$76-Scenarios!C22*Scenarios!C12-Scenarios!C22*Inputs!$B$73/(1+Inputs!$B$73)*Inputs!$B$77)*2/3)/(1+Scenarios!C13)^2.7+(((Scenarios!C17*(1+Inputs!$B$73)^3*$A8+Scenarios!C18*(1+Inputs!$B$73)^3*Scenarios!C11+Model!C13)-Scenarios!C22*Inputs!$B$76)*(1-Inputs!$B$78)+Scenarios!C22*Inputs!$B$76-Scenarios!C22*Scenarios!C12-Scenarios!C22*Inputs!$B$73/(1+Inputs!$B$73)*Inputs!$B$77)/(1+Scenarios!C13)^3.7)+AVERAGE((((Scenarios!C17*(1+Inputs!$B$73)^3*$A8+Scenarios!C18*(1+Inputs!$B$73)^3*Scenarios!C11+Model!C13)-Scenarios!C22*Inputs!$B$76)*(1-Inputs!$B$78)+Scenarios!C22*Inputs!$B$76-Scenarios!C22*Scenarios!C12-Scenarios!C22*Inputs!$B$73/(1+Inputs!$B$73)*Inputs!$B$77)*(1+Inputs!$B$85)/(Scenarios!C13-Inputs!$B$85),(Scenarios!C17*(1+Inputs!$B$73)^3*$A8+Scenarios!C18*(1+Inputs!$B$73)^3*Scenarios!C11+Model!C13)*D$5)/(1+Scenarios!C13)^3.7-DCF!B6-DCF!B7)/Inputs!$B$8</f>
        <v>40.1057732075926</v>
      </c>
      <c r="E8" s="50" t="n">
        <f aca="false">((Scenarios!C25/(1+Scenarios!C13)^0.7+(Scenarios!C25*2/3+(((Scenarios!C17*(1+Inputs!$B$73)^3*$A8+Scenarios!C18*(1+Inputs!$B$73)^3*Scenarios!C11+Model!C13)-Scenarios!C22*Inputs!$B$76)*(1-Inputs!$B$78)+Scenarios!C22*Inputs!$B$76-Scenarios!C22*Scenarios!C12-Scenarios!C22*Inputs!$B$73/(1+Inputs!$B$73)*Inputs!$B$77)/3)/(1+Scenarios!C13)^1.7+(Scenarios!C25/3+(((Scenarios!C17*(1+Inputs!$B$73)^3*$A8+Scenarios!C18*(1+Inputs!$B$73)^3*Scenarios!C11+Model!C13)-Scenarios!C22*Inputs!$B$76)*(1-Inputs!$B$78)+Scenarios!C22*Inputs!$B$76-Scenarios!C22*Scenarios!C12-Scenarios!C22*Inputs!$B$73/(1+Inputs!$B$73)*Inputs!$B$77)*2/3)/(1+Scenarios!C13)^2.7+(((Scenarios!C17*(1+Inputs!$B$73)^3*$A8+Scenarios!C18*(1+Inputs!$B$73)^3*Scenarios!C11+Model!C13)-Scenarios!C22*Inputs!$B$76)*(1-Inputs!$B$78)+Scenarios!C22*Inputs!$B$76-Scenarios!C22*Scenarios!C12-Scenarios!C22*Inputs!$B$73/(1+Inputs!$B$73)*Inputs!$B$77)/(1+Scenarios!C13)^3.7)+AVERAGE((((Scenarios!C17*(1+Inputs!$B$73)^3*$A8+Scenarios!C18*(1+Inputs!$B$73)^3*Scenarios!C11+Model!C13)-Scenarios!C22*Inputs!$B$76)*(1-Inputs!$B$78)+Scenarios!C22*Inputs!$B$76-Scenarios!C22*Scenarios!C12-Scenarios!C22*Inputs!$B$73/(1+Inputs!$B$73)*Inputs!$B$77)*(1+Inputs!$B$85)/(Scenarios!C13-Inputs!$B$85),(Scenarios!C17*(1+Inputs!$B$73)^3*$A8+Scenarios!C18*(1+Inputs!$B$73)^3*Scenarios!C11+Model!C13)*E$5)/(1+Scenarios!C13)^3.7-DCF!B6-DCF!B7)/Inputs!$B$8</f>
        <v>42.9460697384071</v>
      </c>
      <c r="F8" s="50" t="n">
        <f aca="false">((Scenarios!C25/(1+Scenarios!C13)^0.7+(Scenarios!C25*2/3+(((Scenarios!C17*(1+Inputs!$B$73)^3*$A8+Scenarios!C18*(1+Inputs!$B$73)^3*Scenarios!C11+Model!C13)-Scenarios!C22*Inputs!$B$76)*(1-Inputs!$B$78)+Scenarios!C22*Inputs!$B$76-Scenarios!C22*Scenarios!C12-Scenarios!C22*Inputs!$B$73/(1+Inputs!$B$73)*Inputs!$B$77)/3)/(1+Scenarios!C13)^1.7+(Scenarios!C25/3+(((Scenarios!C17*(1+Inputs!$B$73)^3*$A8+Scenarios!C18*(1+Inputs!$B$73)^3*Scenarios!C11+Model!C13)-Scenarios!C22*Inputs!$B$76)*(1-Inputs!$B$78)+Scenarios!C22*Inputs!$B$76-Scenarios!C22*Scenarios!C12-Scenarios!C22*Inputs!$B$73/(1+Inputs!$B$73)*Inputs!$B$77)*2/3)/(1+Scenarios!C13)^2.7+(((Scenarios!C17*(1+Inputs!$B$73)^3*$A8+Scenarios!C18*(1+Inputs!$B$73)^3*Scenarios!C11+Model!C13)-Scenarios!C22*Inputs!$B$76)*(1-Inputs!$B$78)+Scenarios!C22*Inputs!$B$76-Scenarios!C22*Scenarios!C12-Scenarios!C22*Inputs!$B$73/(1+Inputs!$B$73)*Inputs!$B$77)/(1+Scenarios!C13)^3.7)+AVERAGE((((Scenarios!C17*(1+Inputs!$B$73)^3*$A8+Scenarios!C18*(1+Inputs!$B$73)^3*Scenarios!C11+Model!C13)-Scenarios!C22*Inputs!$B$76)*(1-Inputs!$B$78)+Scenarios!C22*Inputs!$B$76-Scenarios!C22*Scenarios!C12-Scenarios!C22*Inputs!$B$73/(1+Inputs!$B$73)*Inputs!$B$77)*(1+Inputs!$B$85)/(Scenarios!C13-Inputs!$B$85),(Scenarios!C17*(1+Inputs!$B$73)^3*$A8+Scenarios!C18*(1+Inputs!$B$73)^3*Scenarios!C11+Model!C13)*F$5)/(1+Scenarios!C13)^3.7-DCF!B6-DCF!B7)/Inputs!$B$8</f>
        <v>47.2065145346289</v>
      </c>
      <c r="G8" s="50" t="n">
        <f aca="false">((Scenarios!C25/(1+Scenarios!C13)^0.7+(Scenarios!C25*2/3+(((Scenarios!C17*(1+Inputs!$B$73)^3*$A8+Scenarios!C18*(1+Inputs!$B$73)^3*Scenarios!C11+Model!C13)-Scenarios!C22*Inputs!$B$76)*(1-Inputs!$B$78)+Scenarios!C22*Inputs!$B$76-Scenarios!C22*Scenarios!C12-Scenarios!C22*Inputs!$B$73/(1+Inputs!$B$73)*Inputs!$B$77)/3)/(1+Scenarios!C13)^1.7+(Scenarios!C25/3+(((Scenarios!C17*(1+Inputs!$B$73)^3*$A8+Scenarios!C18*(1+Inputs!$B$73)^3*Scenarios!C11+Model!C13)-Scenarios!C22*Inputs!$B$76)*(1-Inputs!$B$78)+Scenarios!C22*Inputs!$B$76-Scenarios!C22*Scenarios!C12-Scenarios!C22*Inputs!$B$73/(1+Inputs!$B$73)*Inputs!$B$77)*2/3)/(1+Scenarios!C13)^2.7+(((Scenarios!C17*(1+Inputs!$B$73)^3*$A8+Scenarios!C18*(1+Inputs!$B$73)^3*Scenarios!C11+Model!C13)-Scenarios!C22*Inputs!$B$76)*(1-Inputs!$B$78)+Scenarios!C22*Inputs!$B$76-Scenarios!C22*Scenarios!C12-Scenarios!C22*Inputs!$B$73/(1+Inputs!$B$73)*Inputs!$B$77)/(1+Scenarios!C13)^3.7)+AVERAGE((((Scenarios!C17*(1+Inputs!$B$73)^3*$A8+Scenarios!C18*(1+Inputs!$B$73)^3*Scenarios!C11+Model!C13)-Scenarios!C22*Inputs!$B$76)*(1-Inputs!$B$78)+Scenarios!C22*Inputs!$B$76-Scenarios!C22*Scenarios!C12-Scenarios!C22*Inputs!$B$73/(1+Inputs!$B$73)*Inputs!$B$77)*(1+Inputs!$B$85)/(Scenarios!C13-Inputs!$B$85),(Scenarios!C17*(1+Inputs!$B$73)^3*$A8+Scenarios!C18*(1+Inputs!$B$73)^3*Scenarios!C11+Model!C13)*G$5)/(1+Scenarios!C13)^3.7-DCF!B6-DCF!B7)/Inputs!$B$8</f>
        <v>50.0468110654434</v>
      </c>
    </row>
    <row r="9" customFormat="false" ht="15" hidden="false" customHeight="false" outlineLevel="0" collapsed="false">
      <c r="A9" s="49" t="n">
        <v>0.19</v>
      </c>
      <c r="B9" s="50" t="n">
        <f aca="false">((Scenarios!C25/(1+Scenarios!C13)^0.7+(Scenarios!C25*2/3+(((Scenarios!C17*(1+Inputs!$B$73)^3*$A9+Scenarios!C18*(1+Inputs!$B$73)^3*Scenarios!C11+Model!C13)-Scenarios!C22*Inputs!$B$76)*(1-Inputs!$B$78)+Scenarios!C22*Inputs!$B$76-Scenarios!C22*Scenarios!C12-Scenarios!C22*Inputs!$B$73/(1+Inputs!$B$73)*Inputs!$B$77)/3)/(1+Scenarios!C13)^1.7+(Scenarios!C25/3+(((Scenarios!C17*(1+Inputs!$B$73)^3*$A9+Scenarios!C18*(1+Inputs!$B$73)^3*Scenarios!C11+Model!C13)-Scenarios!C22*Inputs!$B$76)*(1-Inputs!$B$78)+Scenarios!C22*Inputs!$B$76-Scenarios!C22*Scenarios!C12-Scenarios!C22*Inputs!$B$73/(1+Inputs!$B$73)*Inputs!$B$77)*2/3)/(1+Scenarios!C13)^2.7+(((Scenarios!C17*(1+Inputs!$B$73)^3*$A9+Scenarios!C18*(1+Inputs!$B$73)^3*Scenarios!C11+Model!C13)-Scenarios!C22*Inputs!$B$76)*(1-Inputs!$B$78)+Scenarios!C22*Inputs!$B$76-Scenarios!C22*Scenarios!C12-Scenarios!C22*Inputs!$B$73/(1+Inputs!$B$73)*Inputs!$B$77)/(1+Scenarios!C13)^3.7)+AVERAGE((((Scenarios!C17*(1+Inputs!$B$73)^3*$A9+Scenarios!C18*(1+Inputs!$B$73)^3*Scenarios!C11+Model!C13)-Scenarios!C22*Inputs!$B$76)*(1-Inputs!$B$78)+Scenarios!C22*Inputs!$B$76-Scenarios!C22*Scenarios!C12-Scenarios!C22*Inputs!$B$73/(1+Inputs!$B$73)*Inputs!$B$77)*(1+Inputs!$B$85)/(Scenarios!C13-Inputs!$B$85),(Scenarios!C17*(1+Inputs!$B$73)^3*$A9+Scenarios!C18*(1+Inputs!$B$73)^3*Scenarios!C11+Model!C13)*B$5)/(1+Scenarios!C13)^3.7-DCF!B6-DCF!B7)/Inputs!$B$8</f>
        <v>40.482415547903</v>
      </c>
      <c r="C9" s="50" t="n">
        <f aca="false">((Scenarios!C25/(1+Scenarios!C13)^0.7+(Scenarios!C25*2/3+(((Scenarios!C17*(1+Inputs!$B$73)^3*$A9+Scenarios!C18*(1+Inputs!$B$73)^3*Scenarios!C11+Model!C13)-Scenarios!C22*Inputs!$B$76)*(1-Inputs!$B$78)+Scenarios!C22*Inputs!$B$76-Scenarios!C22*Scenarios!C12-Scenarios!C22*Inputs!$B$73/(1+Inputs!$B$73)*Inputs!$B$77)/3)/(1+Scenarios!C13)^1.7+(Scenarios!C25/3+(((Scenarios!C17*(1+Inputs!$B$73)^3*$A9+Scenarios!C18*(1+Inputs!$B$73)^3*Scenarios!C11+Model!C13)-Scenarios!C22*Inputs!$B$76)*(1-Inputs!$B$78)+Scenarios!C22*Inputs!$B$76-Scenarios!C22*Scenarios!C12-Scenarios!C22*Inputs!$B$73/(1+Inputs!$B$73)*Inputs!$B$77)*2/3)/(1+Scenarios!C13)^2.7+(((Scenarios!C17*(1+Inputs!$B$73)^3*$A9+Scenarios!C18*(1+Inputs!$B$73)^3*Scenarios!C11+Model!C13)-Scenarios!C22*Inputs!$B$76)*(1-Inputs!$B$78)+Scenarios!C22*Inputs!$B$76-Scenarios!C22*Scenarios!C12-Scenarios!C22*Inputs!$B$73/(1+Inputs!$B$73)*Inputs!$B$77)/(1+Scenarios!C13)^3.7)+AVERAGE((((Scenarios!C17*(1+Inputs!$B$73)^3*$A9+Scenarios!C18*(1+Inputs!$B$73)^3*Scenarios!C11+Model!C13)-Scenarios!C22*Inputs!$B$76)*(1-Inputs!$B$78)+Scenarios!C22*Inputs!$B$76-Scenarios!C22*Scenarios!C12-Scenarios!C22*Inputs!$B$73/(1+Inputs!$B$73)*Inputs!$B$77)*(1+Inputs!$B$85)/(Scenarios!C13-Inputs!$B$85),(Scenarios!C17*(1+Inputs!$B$73)^3*$A9+Scenarios!C18*(1+Inputs!$B$73)^3*Scenarios!C11+Model!C13)*C$5)/(1+Scenarios!C13)^3.7-DCF!B6-DCF!B7)/Inputs!$B$8</f>
        <v>43.5734155403171</v>
      </c>
      <c r="D9" s="50" t="n">
        <f aca="false">((Scenarios!C25/(1+Scenarios!C13)^0.7+(Scenarios!C25*2/3+(((Scenarios!C17*(1+Inputs!$B$73)^3*$A9+Scenarios!C18*(1+Inputs!$B$73)^3*Scenarios!C11+Model!C13)-Scenarios!C22*Inputs!$B$76)*(1-Inputs!$B$78)+Scenarios!C22*Inputs!$B$76-Scenarios!C22*Scenarios!C12-Scenarios!C22*Inputs!$B$73/(1+Inputs!$B$73)*Inputs!$B$77)/3)/(1+Scenarios!C13)^1.7+(Scenarios!C25/3+(((Scenarios!C17*(1+Inputs!$B$73)^3*$A9+Scenarios!C18*(1+Inputs!$B$73)^3*Scenarios!C11+Model!C13)-Scenarios!C22*Inputs!$B$76)*(1-Inputs!$B$78)+Scenarios!C22*Inputs!$B$76-Scenarios!C22*Scenarios!C12-Scenarios!C22*Inputs!$B$73/(1+Inputs!$B$73)*Inputs!$B$77)*2/3)/(1+Scenarios!C13)^2.7+(((Scenarios!C17*(1+Inputs!$B$73)^3*$A9+Scenarios!C18*(1+Inputs!$B$73)^3*Scenarios!C11+Model!C13)-Scenarios!C22*Inputs!$B$76)*(1-Inputs!$B$78)+Scenarios!C22*Inputs!$B$76-Scenarios!C22*Scenarios!C12-Scenarios!C22*Inputs!$B$73/(1+Inputs!$B$73)*Inputs!$B$77)/(1+Scenarios!C13)^3.7)+AVERAGE((((Scenarios!C17*(1+Inputs!$B$73)^3*$A9+Scenarios!C18*(1+Inputs!$B$73)^3*Scenarios!C11+Model!C13)-Scenarios!C22*Inputs!$B$76)*(1-Inputs!$B$78)+Scenarios!C22*Inputs!$B$76-Scenarios!C22*Scenarios!C12-Scenarios!C22*Inputs!$B$73/(1+Inputs!$B$73)*Inputs!$B$77)*(1+Inputs!$B$85)/(Scenarios!C13-Inputs!$B$85),(Scenarios!C17*(1+Inputs!$B$73)^3*$A9+Scenarios!C18*(1+Inputs!$B$73)^3*Scenarios!C11+Model!C13)*D$5)/(1+Scenarios!C13)^3.7-DCF!B6-DCF!B7)/Inputs!$B$8</f>
        <v>46.6644155327313</v>
      </c>
      <c r="E9" s="50" t="n">
        <f aca="false">((Scenarios!C25/(1+Scenarios!C13)^0.7+(Scenarios!C25*2/3+(((Scenarios!C17*(1+Inputs!$B$73)^3*$A9+Scenarios!C18*(1+Inputs!$B$73)^3*Scenarios!C11+Model!C13)-Scenarios!C22*Inputs!$B$76)*(1-Inputs!$B$78)+Scenarios!C22*Inputs!$B$76-Scenarios!C22*Scenarios!C12-Scenarios!C22*Inputs!$B$73/(1+Inputs!$B$73)*Inputs!$B$77)/3)/(1+Scenarios!C13)^1.7+(Scenarios!C25/3+(((Scenarios!C17*(1+Inputs!$B$73)^3*$A9+Scenarios!C18*(1+Inputs!$B$73)^3*Scenarios!C11+Model!C13)-Scenarios!C22*Inputs!$B$76)*(1-Inputs!$B$78)+Scenarios!C22*Inputs!$B$76-Scenarios!C22*Scenarios!C12-Scenarios!C22*Inputs!$B$73/(1+Inputs!$B$73)*Inputs!$B$77)*2/3)/(1+Scenarios!C13)^2.7+(((Scenarios!C17*(1+Inputs!$B$73)^3*$A9+Scenarios!C18*(1+Inputs!$B$73)^3*Scenarios!C11+Model!C13)-Scenarios!C22*Inputs!$B$76)*(1-Inputs!$B$78)+Scenarios!C22*Inputs!$B$76-Scenarios!C22*Scenarios!C12-Scenarios!C22*Inputs!$B$73/(1+Inputs!$B$73)*Inputs!$B$77)/(1+Scenarios!C13)^3.7)+AVERAGE((((Scenarios!C17*(1+Inputs!$B$73)^3*$A9+Scenarios!C18*(1+Inputs!$B$73)^3*Scenarios!C11+Model!C13)-Scenarios!C22*Inputs!$B$76)*(1-Inputs!$B$78)+Scenarios!C22*Inputs!$B$76-Scenarios!C22*Scenarios!C12-Scenarios!C22*Inputs!$B$73/(1+Inputs!$B$73)*Inputs!$B$77)*(1+Inputs!$B$85)/(Scenarios!C13-Inputs!$B$85),(Scenarios!C17*(1+Inputs!$B$73)^3*$A9+Scenarios!C18*(1+Inputs!$B$73)^3*Scenarios!C11+Model!C13)*E$5)/(1+Scenarios!C13)^3.7-DCF!B6-DCF!B7)/Inputs!$B$8</f>
        <v>49.7554155251454</v>
      </c>
      <c r="F9" s="50" t="n">
        <f aca="false">((Scenarios!C25/(1+Scenarios!C13)^0.7+(Scenarios!C25*2/3+(((Scenarios!C17*(1+Inputs!$B$73)^3*$A9+Scenarios!C18*(1+Inputs!$B$73)^3*Scenarios!C11+Model!C13)-Scenarios!C22*Inputs!$B$76)*(1-Inputs!$B$78)+Scenarios!C22*Inputs!$B$76-Scenarios!C22*Scenarios!C12-Scenarios!C22*Inputs!$B$73/(1+Inputs!$B$73)*Inputs!$B$77)/3)/(1+Scenarios!C13)^1.7+(Scenarios!C25/3+(((Scenarios!C17*(1+Inputs!$B$73)^3*$A9+Scenarios!C18*(1+Inputs!$B$73)^3*Scenarios!C11+Model!C13)-Scenarios!C22*Inputs!$B$76)*(1-Inputs!$B$78)+Scenarios!C22*Inputs!$B$76-Scenarios!C22*Scenarios!C12-Scenarios!C22*Inputs!$B$73/(1+Inputs!$B$73)*Inputs!$B$77)*2/3)/(1+Scenarios!C13)^2.7+(((Scenarios!C17*(1+Inputs!$B$73)^3*$A9+Scenarios!C18*(1+Inputs!$B$73)^3*Scenarios!C11+Model!C13)-Scenarios!C22*Inputs!$B$76)*(1-Inputs!$B$78)+Scenarios!C22*Inputs!$B$76-Scenarios!C22*Scenarios!C12-Scenarios!C22*Inputs!$B$73/(1+Inputs!$B$73)*Inputs!$B$77)/(1+Scenarios!C13)^3.7)+AVERAGE((((Scenarios!C17*(1+Inputs!$B$73)^3*$A9+Scenarios!C18*(1+Inputs!$B$73)^3*Scenarios!C11+Model!C13)-Scenarios!C22*Inputs!$B$76)*(1-Inputs!$B$78)+Scenarios!C22*Inputs!$B$76-Scenarios!C22*Scenarios!C12-Scenarios!C22*Inputs!$B$73/(1+Inputs!$B$73)*Inputs!$B$77)*(1+Inputs!$B$85)/(Scenarios!C13-Inputs!$B$85),(Scenarios!C17*(1+Inputs!$B$73)^3*$A9+Scenarios!C18*(1+Inputs!$B$73)^3*Scenarios!C11+Model!C13)*F$5)/(1+Scenarios!C13)^3.7-DCF!B6-DCF!B7)/Inputs!$B$8</f>
        <v>54.3919155137666</v>
      </c>
      <c r="G9" s="50" t="n">
        <f aca="false">((Scenarios!C25/(1+Scenarios!C13)^0.7+(Scenarios!C25*2/3+(((Scenarios!C17*(1+Inputs!$B$73)^3*$A9+Scenarios!C18*(1+Inputs!$B$73)^3*Scenarios!C11+Model!C13)-Scenarios!C22*Inputs!$B$76)*(1-Inputs!$B$78)+Scenarios!C22*Inputs!$B$76-Scenarios!C22*Scenarios!C12-Scenarios!C22*Inputs!$B$73/(1+Inputs!$B$73)*Inputs!$B$77)/3)/(1+Scenarios!C13)^1.7+(Scenarios!C25/3+(((Scenarios!C17*(1+Inputs!$B$73)^3*$A9+Scenarios!C18*(1+Inputs!$B$73)^3*Scenarios!C11+Model!C13)-Scenarios!C22*Inputs!$B$76)*(1-Inputs!$B$78)+Scenarios!C22*Inputs!$B$76-Scenarios!C22*Scenarios!C12-Scenarios!C22*Inputs!$B$73/(1+Inputs!$B$73)*Inputs!$B$77)*2/3)/(1+Scenarios!C13)^2.7+(((Scenarios!C17*(1+Inputs!$B$73)^3*$A9+Scenarios!C18*(1+Inputs!$B$73)^3*Scenarios!C11+Model!C13)-Scenarios!C22*Inputs!$B$76)*(1-Inputs!$B$78)+Scenarios!C22*Inputs!$B$76-Scenarios!C22*Scenarios!C12-Scenarios!C22*Inputs!$B$73/(1+Inputs!$B$73)*Inputs!$B$77)/(1+Scenarios!C13)^3.7)+AVERAGE((((Scenarios!C17*(1+Inputs!$B$73)^3*$A9+Scenarios!C18*(1+Inputs!$B$73)^3*Scenarios!C11+Model!C13)-Scenarios!C22*Inputs!$B$76)*(1-Inputs!$B$78)+Scenarios!C22*Inputs!$B$76-Scenarios!C22*Scenarios!C12-Scenarios!C22*Inputs!$B$73/(1+Inputs!$B$73)*Inputs!$B$77)*(1+Inputs!$B$85)/(Scenarios!C13-Inputs!$B$85),(Scenarios!C17*(1+Inputs!$B$73)^3*$A9+Scenarios!C18*(1+Inputs!$B$73)^3*Scenarios!C11+Model!C13)*G$5)/(1+Scenarios!C13)^3.7-DCF!B6-DCF!B7)/Inputs!$B$8</f>
        <v>57.4829155061808</v>
      </c>
    </row>
    <row r="10" customFormat="false" ht="15" hidden="false" customHeight="false" outlineLevel="0" collapsed="false">
      <c r="A10" s="49" t="n">
        <v>0.21</v>
      </c>
      <c r="B10" s="50" t="n">
        <f aca="false">((Scenarios!C25/(1+Scenarios!C13)^0.7+(Scenarios!C25*2/3+(((Scenarios!C17*(1+Inputs!$B$73)^3*$A10+Scenarios!C18*(1+Inputs!$B$73)^3*Scenarios!C11+Model!C13)-Scenarios!C22*Inputs!$B$76)*(1-Inputs!$B$78)+Scenarios!C22*Inputs!$B$76-Scenarios!C22*Scenarios!C12-Scenarios!C22*Inputs!$B$73/(1+Inputs!$B$73)*Inputs!$B$77)/3)/(1+Scenarios!C13)^1.7+(Scenarios!C25/3+(((Scenarios!C17*(1+Inputs!$B$73)^3*$A10+Scenarios!C18*(1+Inputs!$B$73)^3*Scenarios!C11+Model!C13)-Scenarios!C22*Inputs!$B$76)*(1-Inputs!$B$78)+Scenarios!C22*Inputs!$B$76-Scenarios!C22*Scenarios!C12-Scenarios!C22*Inputs!$B$73/(1+Inputs!$B$73)*Inputs!$B$77)*2/3)/(1+Scenarios!C13)^2.7+(((Scenarios!C17*(1+Inputs!$B$73)^3*$A10+Scenarios!C18*(1+Inputs!$B$73)^3*Scenarios!C11+Model!C13)-Scenarios!C22*Inputs!$B$76)*(1-Inputs!$B$78)+Scenarios!C22*Inputs!$B$76-Scenarios!C22*Scenarios!C12-Scenarios!C22*Inputs!$B$73/(1+Inputs!$B$73)*Inputs!$B$77)/(1+Scenarios!C13)^3.7)+AVERAGE((((Scenarios!C17*(1+Inputs!$B$73)^3*$A10+Scenarios!C18*(1+Inputs!$B$73)^3*Scenarios!C11+Model!C13)-Scenarios!C22*Inputs!$B$76)*(1-Inputs!$B$78)+Scenarios!C22*Inputs!$B$76-Scenarios!C22*Scenarios!C12-Scenarios!C22*Inputs!$B$73/(1+Inputs!$B$73)*Inputs!$B$77)*(1+Inputs!$B$85)/(Scenarios!C13-Inputs!$B$85),(Scenarios!C17*(1+Inputs!$B$73)^3*$A10+Scenarios!C18*(1+Inputs!$B$73)^3*Scenarios!C11+Model!C13)*B$5)/(1+Scenarios!C13)^3.7-DCF!B6-DCF!B7)/Inputs!$B$8</f>
        <v>46.5396509498424</v>
      </c>
      <c r="C10" s="50" t="n">
        <f aca="false">((Scenarios!C25/(1+Scenarios!C13)^0.7+(Scenarios!C25*2/3+(((Scenarios!C17*(1+Inputs!$B$73)^3*$A10+Scenarios!C18*(1+Inputs!$B$73)^3*Scenarios!C11+Model!C13)-Scenarios!C22*Inputs!$B$76)*(1-Inputs!$B$78)+Scenarios!C22*Inputs!$B$76-Scenarios!C22*Scenarios!C12-Scenarios!C22*Inputs!$B$73/(1+Inputs!$B$73)*Inputs!$B$77)/3)/(1+Scenarios!C13)^1.7+(Scenarios!C25/3+(((Scenarios!C17*(1+Inputs!$B$73)^3*$A10+Scenarios!C18*(1+Inputs!$B$73)^3*Scenarios!C11+Model!C13)-Scenarios!C22*Inputs!$B$76)*(1-Inputs!$B$78)+Scenarios!C22*Inputs!$B$76-Scenarios!C22*Scenarios!C12-Scenarios!C22*Inputs!$B$73/(1+Inputs!$B$73)*Inputs!$B$77)*2/3)/(1+Scenarios!C13)^2.7+(((Scenarios!C17*(1+Inputs!$B$73)^3*$A10+Scenarios!C18*(1+Inputs!$B$73)^3*Scenarios!C11+Model!C13)-Scenarios!C22*Inputs!$B$76)*(1-Inputs!$B$78)+Scenarios!C22*Inputs!$B$76-Scenarios!C22*Scenarios!C12-Scenarios!C22*Inputs!$B$73/(1+Inputs!$B$73)*Inputs!$B$77)/(1+Scenarios!C13)^3.7)+AVERAGE((((Scenarios!C17*(1+Inputs!$B$73)^3*$A10+Scenarios!C18*(1+Inputs!$B$73)^3*Scenarios!C11+Model!C13)-Scenarios!C22*Inputs!$B$76)*(1-Inputs!$B$78)+Scenarios!C22*Inputs!$B$76-Scenarios!C22*Scenarios!C12-Scenarios!C22*Inputs!$B$73/(1+Inputs!$B$73)*Inputs!$B$77)*(1+Inputs!$B$85)/(Scenarios!C13-Inputs!$B$85),(Scenarios!C17*(1+Inputs!$B$73)^3*$A10+Scenarios!C18*(1+Inputs!$B$73)^3*Scenarios!C11+Model!C13)*C$5)/(1+Scenarios!C13)^3.7-DCF!B6-DCF!B7)/Inputs!$B$8</f>
        <v>49.8813544038562</v>
      </c>
      <c r="D10" s="50" t="n">
        <f aca="false">((Scenarios!C25/(1+Scenarios!C13)^0.7+(Scenarios!C25*2/3+(((Scenarios!C17*(1+Inputs!$B$73)^3*$A10+Scenarios!C18*(1+Inputs!$B$73)^3*Scenarios!C11+Model!C13)-Scenarios!C22*Inputs!$B$76)*(1-Inputs!$B$78)+Scenarios!C22*Inputs!$B$76-Scenarios!C22*Scenarios!C12-Scenarios!C22*Inputs!$B$73/(1+Inputs!$B$73)*Inputs!$B$77)/3)/(1+Scenarios!C13)^1.7+(Scenarios!C25/3+(((Scenarios!C17*(1+Inputs!$B$73)^3*$A10+Scenarios!C18*(1+Inputs!$B$73)^3*Scenarios!C11+Model!C13)-Scenarios!C22*Inputs!$B$76)*(1-Inputs!$B$78)+Scenarios!C22*Inputs!$B$76-Scenarios!C22*Scenarios!C12-Scenarios!C22*Inputs!$B$73/(1+Inputs!$B$73)*Inputs!$B$77)*2/3)/(1+Scenarios!C13)^2.7+(((Scenarios!C17*(1+Inputs!$B$73)^3*$A10+Scenarios!C18*(1+Inputs!$B$73)^3*Scenarios!C11+Model!C13)-Scenarios!C22*Inputs!$B$76)*(1-Inputs!$B$78)+Scenarios!C22*Inputs!$B$76-Scenarios!C22*Scenarios!C12-Scenarios!C22*Inputs!$B$73/(1+Inputs!$B$73)*Inputs!$B$77)/(1+Scenarios!C13)^3.7)+AVERAGE((((Scenarios!C17*(1+Inputs!$B$73)^3*$A10+Scenarios!C18*(1+Inputs!$B$73)^3*Scenarios!C11+Model!C13)-Scenarios!C22*Inputs!$B$76)*(1-Inputs!$B$78)+Scenarios!C22*Inputs!$B$76-Scenarios!C22*Scenarios!C12-Scenarios!C22*Inputs!$B$73/(1+Inputs!$B$73)*Inputs!$B$77)*(1+Inputs!$B$85)/(Scenarios!C13-Inputs!$B$85),(Scenarios!C17*(1+Inputs!$B$73)^3*$A10+Scenarios!C18*(1+Inputs!$B$73)^3*Scenarios!C11+Model!C13)*D$5)/(1+Scenarios!C13)^3.7-DCF!B6-DCF!B7)/Inputs!$B$8</f>
        <v>53.2230578578699</v>
      </c>
      <c r="E10" s="50" t="n">
        <f aca="false">((Scenarios!C25/(1+Scenarios!C13)^0.7+(Scenarios!C25*2/3+(((Scenarios!C17*(1+Inputs!$B$73)^3*$A10+Scenarios!C18*(1+Inputs!$B$73)^3*Scenarios!C11+Model!C13)-Scenarios!C22*Inputs!$B$76)*(1-Inputs!$B$78)+Scenarios!C22*Inputs!$B$76-Scenarios!C22*Scenarios!C12-Scenarios!C22*Inputs!$B$73/(1+Inputs!$B$73)*Inputs!$B$77)/3)/(1+Scenarios!C13)^1.7+(Scenarios!C25/3+(((Scenarios!C17*(1+Inputs!$B$73)^3*$A10+Scenarios!C18*(1+Inputs!$B$73)^3*Scenarios!C11+Model!C13)-Scenarios!C22*Inputs!$B$76)*(1-Inputs!$B$78)+Scenarios!C22*Inputs!$B$76-Scenarios!C22*Scenarios!C12-Scenarios!C22*Inputs!$B$73/(1+Inputs!$B$73)*Inputs!$B$77)*2/3)/(1+Scenarios!C13)^2.7+(((Scenarios!C17*(1+Inputs!$B$73)^3*$A10+Scenarios!C18*(1+Inputs!$B$73)^3*Scenarios!C11+Model!C13)-Scenarios!C22*Inputs!$B$76)*(1-Inputs!$B$78)+Scenarios!C22*Inputs!$B$76-Scenarios!C22*Scenarios!C12-Scenarios!C22*Inputs!$B$73/(1+Inputs!$B$73)*Inputs!$B$77)/(1+Scenarios!C13)^3.7)+AVERAGE((((Scenarios!C17*(1+Inputs!$B$73)^3*$A10+Scenarios!C18*(1+Inputs!$B$73)^3*Scenarios!C11+Model!C13)-Scenarios!C22*Inputs!$B$76)*(1-Inputs!$B$78)+Scenarios!C22*Inputs!$B$76-Scenarios!C22*Scenarios!C12-Scenarios!C22*Inputs!$B$73/(1+Inputs!$B$73)*Inputs!$B$77)*(1+Inputs!$B$85)/(Scenarios!C13-Inputs!$B$85),(Scenarios!C17*(1+Inputs!$B$73)^3*$A10+Scenarios!C18*(1+Inputs!$B$73)^3*Scenarios!C11+Model!C13)*E$5)/(1+Scenarios!C13)^3.7-DCF!B6-DCF!B7)/Inputs!$B$8</f>
        <v>56.5647613118837</v>
      </c>
      <c r="F10" s="50" t="n">
        <f aca="false">((Scenarios!C25/(1+Scenarios!C13)^0.7+(Scenarios!C25*2/3+(((Scenarios!C17*(1+Inputs!$B$73)^3*$A10+Scenarios!C18*(1+Inputs!$B$73)^3*Scenarios!C11+Model!C13)-Scenarios!C22*Inputs!$B$76)*(1-Inputs!$B$78)+Scenarios!C22*Inputs!$B$76-Scenarios!C22*Scenarios!C12-Scenarios!C22*Inputs!$B$73/(1+Inputs!$B$73)*Inputs!$B$77)/3)/(1+Scenarios!C13)^1.7+(Scenarios!C25/3+(((Scenarios!C17*(1+Inputs!$B$73)^3*$A10+Scenarios!C18*(1+Inputs!$B$73)^3*Scenarios!C11+Model!C13)-Scenarios!C22*Inputs!$B$76)*(1-Inputs!$B$78)+Scenarios!C22*Inputs!$B$76-Scenarios!C22*Scenarios!C12-Scenarios!C22*Inputs!$B$73/(1+Inputs!$B$73)*Inputs!$B$77)*2/3)/(1+Scenarios!C13)^2.7+(((Scenarios!C17*(1+Inputs!$B$73)^3*$A10+Scenarios!C18*(1+Inputs!$B$73)^3*Scenarios!C11+Model!C13)-Scenarios!C22*Inputs!$B$76)*(1-Inputs!$B$78)+Scenarios!C22*Inputs!$B$76-Scenarios!C22*Scenarios!C12-Scenarios!C22*Inputs!$B$73/(1+Inputs!$B$73)*Inputs!$B$77)/(1+Scenarios!C13)^3.7)+AVERAGE((((Scenarios!C17*(1+Inputs!$B$73)^3*$A10+Scenarios!C18*(1+Inputs!$B$73)^3*Scenarios!C11+Model!C13)-Scenarios!C22*Inputs!$B$76)*(1-Inputs!$B$78)+Scenarios!C22*Inputs!$B$76-Scenarios!C22*Scenarios!C12-Scenarios!C22*Inputs!$B$73/(1+Inputs!$B$73)*Inputs!$B$77)*(1+Inputs!$B$85)/(Scenarios!C13-Inputs!$B$85),(Scenarios!C17*(1+Inputs!$B$73)^3*$A10+Scenarios!C18*(1+Inputs!$B$73)^3*Scenarios!C11+Model!C13)*F$5)/(1+Scenarios!C13)^3.7-DCF!B6-DCF!B7)/Inputs!$B$8</f>
        <v>61.5773164929044</v>
      </c>
      <c r="G10" s="50" t="n">
        <f aca="false">((Scenarios!C25/(1+Scenarios!C13)^0.7+(Scenarios!C25*2/3+(((Scenarios!C17*(1+Inputs!$B$73)^3*$A10+Scenarios!C18*(1+Inputs!$B$73)^3*Scenarios!C11+Model!C13)-Scenarios!C22*Inputs!$B$76)*(1-Inputs!$B$78)+Scenarios!C22*Inputs!$B$76-Scenarios!C22*Scenarios!C12-Scenarios!C22*Inputs!$B$73/(1+Inputs!$B$73)*Inputs!$B$77)/3)/(1+Scenarios!C13)^1.7+(Scenarios!C25/3+(((Scenarios!C17*(1+Inputs!$B$73)^3*$A10+Scenarios!C18*(1+Inputs!$B$73)^3*Scenarios!C11+Model!C13)-Scenarios!C22*Inputs!$B$76)*(1-Inputs!$B$78)+Scenarios!C22*Inputs!$B$76-Scenarios!C22*Scenarios!C12-Scenarios!C22*Inputs!$B$73/(1+Inputs!$B$73)*Inputs!$B$77)*2/3)/(1+Scenarios!C13)^2.7+(((Scenarios!C17*(1+Inputs!$B$73)^3*$A10+Scenarios!C18*(1+Inputs!$B$73)^3*Scenarios!C11+Model!C13)-Scenarios!C22*Inputs!$B$76)*(1-Inputs!$B$78)+Scenarios!C22*Inputs!$B$76-Scenarios!C22*Scenarios!C12-Scenarios!C22*Inputs!$B$73/(1+Inputs!$B$73)*Inputs!$B$77)/(1+Scenarios!C13)^3.7)+AVERAGE((((Scenarios!C17*(1+Inputs!$B$73)^3*$A10+Scenarios!C18*(1+Inputs!$B$73)^3*Scenarios!C11+Model!C13)-Scenarios!C22*Inputs!$B$76)*(1-Inputs!$B$78)+Scenarios!C22*Inputs!$B$76-Scenarios!C22*Scenarios!C12-Scenarios!C22*Inputs!$B$73/(1+Inputs!$B$73)*Inputs!$B$77)*(1+Inputs!$B$85)/(Scenarios!C13-Inputs!$B$85),(Scenarios!C17*(1+Inputs!$B$73)^3*$A10+Scenarios!C18*(1+Inputs!$B$73)^3*Scenarios!C11+Model!C13)*G$5)/(1+Scenarios!C13)^3.7-DCF!B6-DCF!B7)/Inputs!$B$8</f>
        <v>64.9190199469181</v>
      </c>
    </row>
    <row r="11" customFormat="false" ht="15" hidden="false" customHeight="false" outlineLevel="0" collapsed="false">
      <c r="A11" s="7" t="s">
        <v>489</v>
      </c>
    </row>
    <row r="14" customFormat="false" ht="15" hidden="false" customHeight="false" outlineLevel="0" collapsed="false">
      <c r="A14" s="11" t="s">
        <v>490</v>
      </c>
    </row>
    <row r="15" customFormat="false" ht="15" hidden="false" customHeight="false" outlineLevel="0" collapsed="false">
      <c r="A15" s="11" t="s">
        <v>491</v>
      </c>
      <c r="B15" s="11" t="s">
        <v>492</v>
      </c>
      <c r="C15" s="11" t="s">
        <v>493</v>
      </c>
      <c r="D15" s="11" t="s">
        <v>494</v>
      </c>
      <c r="E15" s="11" t="s">
        <v>495</v>
      </c>
    </row>
    <row r="16" customFormat="false" ht="15" hidden="false" customHeight="false" outlineLevel="0" collapsed="false">
      <c r="A16" s="16" t="n">
        <v>0</v>
      </c>
      <c r="B16" s="44" t="n">
        <f aca="false">A16*Inputs!$B$62</f>
        <v>0</v>
      </c>
      <c r="C16" s="44" t="n">
        <f aca="false">Scenarios!C21-(Scenarios!C5-A16)*Inputs!$B$62*Inputs!$B$63</f>
        <v>3370.86170212766</v>
      </c>
      <c r="D16" s="51" t="n">
        <f aca="false">C16/((Inputs!$B$50+Inputs!$B$51)/2)-1</f>
        <v>0.0214732430689877</v>
      </c>
      <c r="E16" s="52" t="n">
        <f aca="false">(DCF!B5+DCF!B6)/C16</f>
        <v>7.54554836347799</v>
      </c>
    </row>
    <row r="17" customFormat="false" ht="15" hidden="false" customHeight="false" outlineLevel="0" collapsed="false">
      <c r="A17" s="16" t="n">
        <v>0.25</v>
      </c>
      <c r="B17" s="44" t="n">
        <f aca="false">A17*Inputs!$B$62</f>
        <v>42.5</v>
      </c>
      <c r="C17" s="44" t="n">
        <f aca="false">Scenarios!C21-(Scenarios!C5-A17)*Inputs!$B$62*Inputs!$B$63</f>
        <v>3753.36170212766</v>
      </c>
      <c r="D17" s="51" t="n">
        <f aca="false">C17/((Inputs!$B$50+Inputs!$B$51)/2)-1</f>
        <v>0.137382333978079</v>
      </c>
      <c r="E17" s="52" t="n">
        <f aca="false">(DCF!B5+DCF!B6)/C17</f>
        <v>6.77659176454583</v>
      </c>
    </row>
    <row r="18" customFormat="false" ht="15" hidden="false" customHeight="false" outlineLevel="0" collapsed="false">
      <c r="A18" s="16" t="n">
        <v>0.5</v>
      </c>
      <c r="B18" s="44" t="n">
        <f aca="false">A18*Inputs!$B$62</f>
        <v>85</v>
      </c>
      <c r="C18" s="44" t="n">
        <f aca="false">Scenarios!C21-(Scenarios!C5-A18)*Inputs!$B$62*Inputs!$B$63</f>
        <v>4135.86170212766</v>
      </c>
      <c r="D18" s="51" t="n">
        <f aca="false">C18/((Inputs!$B$50+Inputs!$B$51)/2)-1</f>
        <v>0.25329142488717</v>
      </c>
      <c r="E18" s="52" t="n">
        <f aca="false">(DCF!B5+DCF!B6)/C18</f>
        <v>6.14986714544038</v>
      </c>
    </row>
    <row r="19" customFormat="false" ht="15" hidden="false" customHeight="false" outlineLevel="0" collapsed="false">
      <c r="A19" s="16" t="n">
        <v>0.75</v>
      </c>
      <c r="B19" s="44" t="n">
        <f aca="false">A19*Inputs!$B$62</f>
        <v>127.5</v>
      </c>
      <c r="C19" s="44" t="n">
        <f aca="false">Scenarios!C21-(Scenarios!C5-A19)*Inputs!$B$62*Inputs!$B$63</f>
        <v>4518.36170212766</v>
      </c>
      <c r="D19" s="51" t="n">
        <f aca="false">C19/((Inputs!$B$50+Inputs!$B$51)/2)-1</f>
        <v>0.369200515796261</v>
      </c>
      <c r="E19" s="52" t="n">
        <f aca="false">(DCF!B5+DCF!B6)/C19</f>
        <v>5.62925274176763</v>
      </c>
    </row>
    <row r="20" customFormat="false" ht="15" hidden="false" customHeight="false" outlineLevel="0" collapsed="false">
      <c r="A20" s="16" t="n">
        <v>1</v>
      </c>
      <c r="B20" s="44" t="n">
        <f aca="false">A20*Inputs!$B$62</f>
        <v>170</v>
      </c>
      <c r="C20" s="44" t="n">
        <f aca="false">Scenarios!C21-(Scenarios!C5-A20)*Inputs!$B$62*Inputs!$B$63</f>
        <v>4900.86170212766</v>
      </c>
      <c r="D20" s="51" t="n">
        <f aca="false">C20/((Inputs!$B$50+Inputs!$B$51)/2)-1</f>
        <v>0.485109606705351</v>
      </c>
      <c r="E20" s="52" t="n">
        <f aca="false">(DCF!B5+DCF!B6)/C20</f>
        <v>5.18990364265077</v>
      </c>
    </row>
    <row r="21" customFormat="false" ht="15" hidden="false" customHeight="false" outlineLevel="0" collapsed="false">
      <c r="A21" s="7" t="s">
        <v>496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4" min="2" style="0" width="14"/>
    <col collapsed="false" customWidth="true" hidden="false" outlineLevel="0" max="5" min="5" style="0" width="60"/>
  </cols>
  <sheetData>
    <row r="1" customFormat="false" ht="16.15" hidden="false" customHeight="false" outlineLevel="0" collapsed="false">
      <c r="A1" s="6" t="s">
        <v>497</v>
      </c>
    </row>
    <row r="3" customFormat="false" ht="15" hidden="false" customHeight="false" outlineLevel="0" collapsed="false">
      <c r="A3" s="8" t="s">
        <v>498</v>
      </c>
      <c r="B3" s="9"/>
      <c r="C3" s="9"/>
      <c r="D3" s="9"/>
      <c r="E3" s="9"/>
    </row>
    <row r="4" customFormat="false" ht="15" hidden="false" customHeight="false" outlineLevel="0" collapsed="false">
      <c r="A4" s="11" t="s">
        <v>499</v>
      </c>
      <c r="B4" s="11" t="s">
        <v>500</v>
      </c>
      <c r="C4" s="11" t="s">
        <v>28</v>
      </c>
    </row>
    <row r="5" customFormat="false" ht="15" hidden="false" customHeight="false" outlineLevel="0" collapsed="false">
      <c r="A5" s="0" t="s">
        <v>501</v>
      </c>
      <c r="B5" s="53" t="n">
        <f aca="false">Inputs!$B$89</f>
        <v>12.2</v>
      </c>
      <c r="C5" s="40" t="n">
        <f aca="false">Inputs!$B$90</f>
        <v>0.21</v>
      </c>
    </row>
    <row r="6" customFormat="false" ht="15" hidden="false" customHeight="false" outlineLevel="0" collapsed="false">
      <c r="A6" s="0" t="s">
        <v>502</v>
      </c>
      <c r="B6" s="53" t="n">
        <f aca="false">Inputs!$B$91</f>
        <v>7.2</v>
      </c>
      <c r="C6" s="40" t="n">
        <f aca="false">Inputs!$B$92</f>
        <v>0.15</v>
      </c>
    </row>
    <row r="7" customFormat="false" ht="15" hidden="false" customHeight="false" outlineLevel="0" collapsed="false">
      <c r="A7" s="0" t="s">
        <v>503</v>
      </c>
      <c r="B7" s="52" t="n">
        <f aca="false">DCF!B38</f>
        <v>7.70757575757576</v>
      </c>
      <c r="C7" s="51" t="n">
        <f aca="false">Model!C15</f>
        <v>0.137787056367432</v>
      </c>
    </row>
    <row r="8" customFormat="false" ht="15" hidden="false" customHeight="false" outlineLevel="0" collapsed="false">
      <c r="A8" s="0" t="s">
        <v>504</v>
      </c>
      <c r="C8" s="51" t="n">
        <f aca="false">Model!C16</f>
        <v>0.158629088378566</v>
      </c>
    </row>
    <row r="10" customFormat="false" ht="15" hidden="false" customHeight="false" outlineLevel="0" collapsed="false">
      <c r="A10" s="8" t="s">
        <v>505</v>
      </c>
      <c r="B10" s="9"/>
      <c r="C10" s="9"/>
      <c r="D10" s="9"/>
      <c r="E10" s="9"/>
    </row>
    <row r="11" customFormat="false" ht="15" hidden="false" customHeight="false" outlineLevel="0" collapsed="false">
      <c r="A11" s="11" t="s">
        <v>506</v>
      </c>
      <c r="B11" s="11" t="s">
        <v>507</v>
      </c>
      <c r="C11" s="11" t="s">
        <v>508</v>
      </c>
      <c r="D11" s="11" t="s">
        <v>184</v>
      </c>
      <c r="E11" s="11" t="s">
        <v>509</v>
      </c>
    </row>
    <row r="12" customFormat="false" ht="15" hidden="false" customHeight="false" outlineLevel="0" collapsed="false">
      <c r="A12" s="0" t="s">
        <v>510</v>
      </c>
      <c r="B12" s="44" t="n">
        <f aca="false">Model!E11</f>
        <v>2793.24603723404</v>
      </c>
      <c r="C12" s="23" t="n">
        <v>9</v>
      </c>
      <c r="D12" s="44" t="n">
        <f aca="false">B12*C12</f>
        <v>25139.2143351064</v>
      </c>
      <c r="E12" s="7" t="s">
        <v>511</v>
      </c>
    </row>
    <row r="13" customFormat="false" ht="15" hidden="false" customHeight="false" outlineLevel="0" collapsed="false">
      <c r="A13" s="0" t="s">
        <v>512</v>
      </c>
      <c r="B13" s="44" t="n">
        <f aca="false">Model!E12</f>
        <v>1001.14503324468</v>
      </c>
      <c r="C13" s="23" t="n">
        <v>6.5</v>
      </c>
      <c r="D13" s="44" t="n">
        <f aca="false">B13*C13</f>
        <v>6507.44271609042</v>
      </c>
      <c r="E13" s="7" t="s">
        <v>513</v>
      </c>
    </row>
    <row r="14" customFormat="false" ht="15" hidden="false" customHeight="false" outlineLevel="0" collapsed="false">
      <c r="A14" s="0" t="s">
        <v>514</v>
      </c>
      <c r="B14" s="44" t="n">
        <f aca="false">Model!E13</f>
        <v>-75</v>
      </c>
      <c r="C14" s="52" t="n">
        <f aca="false">C12</f>
        <v>9</v>
      </c>
      <c r="D14" s="44" t="n">
        <f aca="false">B14*C14</f>
        <v>-675</v>
      </c>
    </row>
    <row r="15" customFormat="false" ht="15" hidden="false" customHeight="false" outlineLevel="0" collapsed="false">
      <c r="A15" s="11" t="s">
        <v>515</v>
      </c>
      <c r="D15" s="46" t="n">
        <f aca="false">SUM(D12:D14)</f>
        <v>30971.6570511968</v>
      </c>
    </row>
    <row r="16" customFormat="false" ht="15" hidden="false" customHeight="false" outlineLevel="0" collapsed="false">
      <c r="A16" s="0" t="s">
        <v>516</v>
      </c>
      <c r="D16" s="44" t="n">
        <f aca="false">-DCF!B6-DCF!B7</f>
        <v>-9448.48</v>
      </c>
    </row>
    <row r="17" customFormat="false" ht="15" hidden="false" customHeight="false" outlineLevel="0" collapsed="false">
      <c r="A17" s="0" t="s">
        <v>517</v>
      </c>
      <c r="D17" s="44" t="n">
        <f aca="false">-Inputs!$B$59*1.5</f>
        <v>-375</v>
      </c>
      <c r="E17" s="7" t="s">
        <v>518</v>
      </c>
    </row>
    <row r="18" customFormat="false" ht="15" hidden="false" customHeight="false" outlineLevel="0" collapsed="false">
      <c r="A18" s="11" t="s">
        <v>479</v>
      </c>
      <c r="D18" s="46" t="n">
        <f aca="false">D15+D16+D17</f>
        <v>21148.1770511968</v>
      </c>
    </row>
    <row r="19" customFormat="false" ht="15" hidden="false" customHeight="false" outlineLevel="0" collapsed="false">
      <c r="A19" s="11" t="s">
        <v>519</v>
      </c>
      <c r="D19" s="47" t="n">
        <f aca="false">D18/Inputs!$B$8</f>
        <v>39.9399000022603</v>
      </c>
    </row>
    <row r="20" customFormat="false" ht="15" hidden="false" customHeight="false" outlineLevel="0" collapsed="false">
      <c r="A20" s="0" t="s">
        <v>480</v>
      </c>
      <c r="D20" s="51" t="n">
        <f aca="false">D19/Inputs!$B$7-1</f>
        <v>0.248121875070633</v>
      </c>
    </row>
    <row r="22" customFormat="false" ht="15" hidden="false" customHeight="false" outlineLevel="0" collapsed="false">
      <c r="A22" s="12" t="s">
        <v>520</v>
      </c>
      <c r="D22" s="52" t="n">
        <f aca="false">((DCF!B5-D17-D16)-D12-D14)/B13</f>
        <v>2.30063136549637</v>
      </c>
      <c r="E22" s="7" t="s">
        <v>521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2026-10-21T15:04:31Z</dcterms:created>
  <dc:creator>openpyxl</dc:creator>
  <dc:description/>
  <dc:language>en-US</dc:language>
  <cp:lastModifiedBy/>
  <dcterms:modified xsi:type="dcterms:W3CDTF">2026-10-21T15:04:31Z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